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575" windowHeight="7455" activeTab="0"/>
  </bookViews>
  <sheets>
    <sheet name="Muuttuvat kustannukset" sheetId="1" r:id="rId1"/>
    <sheet name="C1-alue" sheetId="2" r:id="rId2"/>
  </sheets>
  <externalReferences>
    <externalReference r:id="rId5"/>
  </externalReferences>
  <definedNames>
    <definedName name="_xlnm.Print_Area" localSheetId="0">'Muuttuvat kustannukset'!$A$11:$S$250</definedName>
  </definedNames>
  <calcPr fullCalcOnLoad="1"/>
</workbook>
</file>

<file path=xl/sharedStrings.xml><?xml version="1.0" encoding="utf-8"?>
<sst xmlns="http://schemas.openxmlformats.org/spreadsheetml/2006/main" count="910" uniqueCount="196">
  <si>
    <t>Tavanomainen tuotanto</t>
  </si>
  <si>
    <t>Sato</t>
  </si>
  <si>
    <t>Tuet</t>
  </si>
  <si>
    <t>Muut.kust.</t>
  </si>
  <si>
    <t>Kate A</t>
  </si>
  <si>
    <t>kasvi</t>
  </si>
  <si>
    <t xml:space="preserve">pinta-ala </t>
  </si>
  <si>
    <t xml:space="preserve"> kg/ha</t>
  </si>
  <si>
    <t>€/kg</t>
  </si>
  <si>
    <t>€/ha</t>
  </si>
  <si>
    <t>ohra</t>
  </si>
  <si>
    <t>ha</t>
  </si>
  <si>
    <t>Kaura</t>
  </si>
  <si>
    <t>mallasohra</t>
  </si>
  <si>
    <t>Vehnä</t>
  </si>
  <si>
    <t>Ruis</t>
  </si>
  <si>
    <t>Kevätvehnä</t>
  </si>
  <si>
    <t>Rypsi</t>
  </si>
  <si>
    <t>Syysruis</t>
  </si>
  <si>
    <t>Herne</t>
  </si>
  <si>
    <t>Viherlannoitus</t>
  </si>
  <si>
    <t>yht</t>
  </si>
  <si>
    <t>yhteensä</t>
  </si>
  <si>
    <t>Tilan Kate A</t>
  </si>
  <si>
    <t>Luomusopimuksen kannattavuus kasvinviljelytilalla</t>
  </si>
  <si>
    <t>Luomuviljelyn 2. siirtymävuosi</t>
  </si>
  <si>
    <t>Vertailu 5 vuotta</t>
  </si>
  <si>
    <t>1 vuosi</t>
  </si>
  <si>
    <t>2 vuosi</t>
  </si>
  <si>
    <t>3 vuosi</t>
  </si>
  <si>
    <t>4 vuosi</t>
  </si>
  <si>
    <t>5 vuosi</t>
  </si>
  <si>
    <t>5 vuotta</t>
  </si>
  <si>
    <t>Muuttuvat kustannukset</t>
  </si>
  <si>
    <t>Euroa / vuosi</t>
  </si>
  <si>
    <t>Euroa /ha</t>
  </si>
  <si>
    <t>Ohra</t>
  </si>
  <si>
    <t>Luonnonmukainen viljely</t>
  </si>
  <si>
    <t>Luomutuotanto</t>
  </si>
  <si>
    <t>Yksikkö</t>
  </si>
  <si>
    <t xml:space="preserve">  a-hinta</t>
  </si>
  <si>
    <t xml:space="preserve">      Määrä </t>
  </si>
  <si>
    <t>euroa</t>
  </si>
  <si>
    <t xml:space="preserve">Määrä </t>
  </si>
  <si>
    <t>kg</t>
  </si>
  <si>
    <t xml:space="preserve">  Oma siemen </t>
  </si>
  <si>
    <t xml:space="preserve">  Ostosiemen  </t>
  </si>
  <si>
    <t xml:space="preserve">  Kalkitus</t>
  </si>
  <si>
    <t>ton</t>
  </si>
  <si>
    <t xml:space="preserve">  Traktorityö  </t>
  </si>
  <si>
    <t>h</t>
  </si>
  <si>
    <t xml:space="preserve">  Leikkuupuinti  </t>
  </si>
  <si>
    <t xml:space="preserve">  Kuivatus  </t>
  </si>
  <si>
    <t xml:space="preserve">  Rahti ja välityspalkkiot</t>
  </si>
  <si>
    <t xml:space="preserve">  Liikepääoman määrä (50 %)</t>
  </si>
  <si>
    <t>euro</t>
  </si>
  <si>
    <t xml:space="preserve">  Liikepääoman korko (5 %)</t>
  </si>
  <si>
    <t>MALLASOHRA</t>
  </si>
  <si>
    <t>tn</t>
  </si>
  <si>
    <t>Muuttuvat kustannukset yhteensä</t>
  </si>
  <si>
    <t>KAURA</t>
  </si>
  <si>
    <t>KEVÄTVEHNÄ</t>
  </si>
  <si>
    <t>RUIS</t>
  </si>
  <si>
    <t xml:space="preserve">  Suomensalpietari  </t>
  </si>
  <si>
    <t xml:space="preserve">  Traktorityö</t>
  </si>
  <si>
    <t xml:space="preserve">  Leikkuupuinti</t>
  </si>
  <si>
    <t xml:space="preserve">  Kuivatus</t>
  </si>
  <si>
    <t xml:space="preserve">  Liikepääoman määrä (75 %)</t>
  </si>
  <si>
    <t>KEVÄTRYPSI</t>
  </si>
  <si>
    <t xml:space="preserve">  Siemen</t>
  </si>
  <si>
    <t>kerta</t>
  </si>
  <si>
    <t>SÄILÖREHU</t>
  </si>
  <si>
    <t xml:space="preserve">  Siemen </t>
  </si>
  <si>
    <t xml:space="preserve">  Pellon Y 2 -lannos  </t>
  </si>
  <si>
    <t xml:space="preserve">  Karjanlanta</t>
  </si>
  <si>
    <t xml:space="preserve">  Säilöntäaine</t>
  </si>
  <si>
    <t>l</t>
  </si>
  <si>
    <t xml:space="preserve">  Säilöntämuovi </t>
  </si>
  <si>
    <t>Luomu tuotanto</t>
  </si>
  <si>
    <t>Viljo</t>
  </si>
  <si>
    <t>luomutarkastus</t>
  </si>
  <si>
    <t>Karjanlanta</t>
  </si>
  <si>
    <t>Luomuviljelyn  1. siirtymävuosi</t>
  </si>
  <si>
    <t>luomutarkastus perusmaksu</t>
  </si>
  <si>
    <t>luomutarkastus perusmaksut</t>
  </si>
  <si>
    <t>Laskelma  luomuun siirtymisestä C1-alue</t>
  </si>
  <si>
    <t>Viherlannoitusnurmi</t>
  </si>
  <si>
    <t xml:space="preserve">Muihin kohtiin tehdään tarvittavat tilakohtaiset muutokset. </t>
  </si>
  <si>
    <t>Tarvittaessa muuta siemenkustannus vastaamaan tilan oikeaa siemenkustannusta (hinta, kylvömäärä ja ostosiemen)</t>
  </si>
  <si>
    <t>KÄYTTÖOHJE</t>
  </si>
  <si>
    <t>Sen jälkeen, kun on tarkistettu muuttuvat kustannukset, tulosta ne tai kirjaa muistilapulle tilan satotasolla olevat muuttuvat kustannukset</t>
  </si>
  <si>
    <t>Tuottopehtoria www.proagria.fi/tuottopehtori.</t>
  </si>
  <si>
    <t xml:space="preserve"> Tukikasvi vilja</t>
  </si>
  <si>
    <t xml:space="preserve"> Herne</t>
  </si>
  <si>
    <t xml:space="preserve"> Kasvinsuojelu</t>
  </si>
  <si>
    <t xml:space="preserve"> Kalkitus</t>
  </si>
  <si>
    <t>Härkäpapu</t>
  </si>
  <si>
    <t>yks</t>
  </si>
  <si>
    <t xml:space="preserve">  Lehvästön hävitysaine</t>
  </si>
  <si>
    <t xml:space="preserve">  Lajittelu</t>
  </si>
  <si>
    <t>Apilan siemen</t>
  </si>
  <si>
    <t xml:space="preserve">  Siemen  </t>
  </si>
  <si>
    <t xml:space="preserve">  Traktorityö   </t>
  </si>
  <si>
    <t xml:space="preserve">  Leikkuupuinti   </t>
  </si>
  <si>
    <t xml:space="preserve">  Kuivatus   </t>
  </si>
  <si>
    <t xml:space="preserve"> </t>
  </si>
  <si>
    <t>Timotein siemen</t>
  </si>
  <si>
    <t>Kuivaheinä</t>
  </si>
  <si>
    <t xml:space="preserve">  Paalinaru (pyöröpaalit)</t>
  </si>
  <si>
    <t>m</t>
  </si>
  <si>
    <t>Kasvi / tilatyyppi</t>
  </si>
  <si>
    <t>Tilatuki 1)</t>
  </si>
  <si>
    <t>LFA  3)</t>
  </si>
  <si>
    <t>Yhteensä</t>
  </si>
  <si>
    <t>Rehuvilja / kasvitila</t>
  </si>
  <si>
    <t>Mallasohra / kasvitila</t>
  </si>
  <si>
    <t>Kevätvehnä / kasvitila</t>
  </si>
  <si>
    <t>Syysvehnä / kasvitila</t>
  </si>
  <si>
    <t>Ruis / kasvitila</t>
  </si>
  <si>
    <t>Öljykasvit / kasvitila</t>
  </si>
  <si>
    <t>Hamppu, kuitu- ja öljypellava / kasvitila</t>
  </si>
  <si>
    <t>Valkuaiskasvit / kasvitila</t>
  </si>
  <si>
    <t>Tärkkelysperuna (30 tn/ha) / kasvitila</t>
  </si>
  <si>
    <t>Muu sopimustuotantoperuna / kasvitila</t>
  </si>
  <si>
    <t>Muu peruna / kasvitila</t>
  </si>
  <si>
    <t>Energiakasvit / kasvitila</t>
  </si>
  <si>
    <t>Viherlannoitusnurmi / kasvitila</t>
  </si>
  <si>
    <t>Avomaavihannekset / kasvitila</t>
  </si>
  <si>
    <t>Koriste- ja lääkekasvit / kasvitila</t>
  </si>
  <si>
    <t>Maustekasvit / kasvitila</t>
  </si>
  <si>
    <t>Marjat / kasvitila</t>
  </si>
  <si>
    <t>Luomutuki 2007-</t>
  </si>
  <si>
    <t>Kans. 5)</t>
  </si>
  <si>
    <t>Luomu yhteensä</t>
  </si>
  <si>
    <t>Sokerijuurikas / kasvitila  6)</t>
  </si>
  <si>
    <t>Nurmet ja muut rehukasvit / kasvitila</t>
  </si>
  <si>
    <t>Rehuviljat, nurmet ja muut rehukasvit / kotiel.tila</t>
  </si>
  <si>
    <t xml:space="preserve">  Siemen   </t>
  </si>
  <si>
    <t xml:space="preserve">  Kevätviljan NP-lannos  </t>
  </si>
  <si>
    <t xml:space="preserve">  Säilöntämuovi  </t>
  </si>
  <si>
    <t xml:space="preserve">Muuttamalla tilakohtaiset Ymp.lisätoimenpiteet ja laittamalla tilakohtaisen luomutuen suuruuden(kotieläintila), saadaan tilakohtainen laskelma myös tukien osalta </t>
  </si>
  <si>
    <r>
      <rPr>
        <b/>
        <sz val="14"/>
        <color indexed="8"/>
        <rFont val="Calibri"/>
        <family val="2"/>
      </rPr>
      <t>Satomääriä</t>
    </r>
    <r>
      <rPr>
        <sz val="14"/>
        <color indexed="8"/>
        <rFont val="Calibri"/>
        <family val="2"/>
      </rPr>
      <t xml:space="preserve"> voi muutaa vastaamaan tilan oletussatotasoa</t>
    </r>
  </si>
  <si>
    <r>
      <rPr>
        <b/>
        <sz val="14"/>
        <color indexed="8"/>
        <rFont val="Calibri"/>
        <family val="2"/>
      </rPr>
      <t>Lannoituksessa</t>
    </r>
    <r>
      <rPr>
        <sz val="14"/>
        <color indexed="8"/>
        <rFont val="Calibri"/>
        <family val="2"/>
      </rPr>
      <t xml:space="preserve"> tarkistetaan lannoitteen </t>
    </r>
    <r>
      <rPr>
        <sz val="14"/>
        <color indexed="10"/>
        <rFont val="Calibri"/>
        <family val="2"/>
      </rPr>
      <t>hinta (esim. Maaseudun Tulevaisuus)</t>
    </r>
    <r>
      <rPr>
        <sz val="14"/>
        <color indexed="8"/>
        <rFont val="Calibri"/>
        <family val="2"/>
      </rPr>
      <t xml:space="preserve">, tarvittaessa vaihdetaan lannoite ja käyttömäärät </t>
    </r>
    <r>
      <rPr>
        <sz val="14"/>
        <color indexed="10"/>
        <rFont val="Calibri"/>
        <family val="2"/>
      </rPr>
      <t>(punainen väri)</t>
    </r>
  </si>
  <si>
    <r>
      <rPr>
        <b/>
        <sz val="14"/>
        <color indexed="8"/>
        <rFont val="Calibri"/>
        <family val="2"/>
      </rPr>
      <t>Karjanlantaa</t>
    </r>
    <r>
      <rPr>
        <sz val="14"/>
        <color indexed="8"/>
        <rFont val="Calibri"/>
        <family val="2"/>
      </rPr>
      <t xml:space="preserve"> käytettäessä hinta on yleensä 0 euroa, mutta traktorityö lisääntyy ja se lisätään traktorin kustannuksiin.</t>
    </r>
  </si>
  <si>
    <r>
      <rPr>
        <b/>
        <sz val="14"/>
        <color indexed="8"/>
        <rFont val="Calibri"/>
        <family val="2"/>
      </rPr>
      <t>Traktorityö,</t>
    </r>
    <r>
      <rPr>
        <sz val="14"/>
        <color indexed="8"/>
        <rFont val="Calibri"/>
        <family val="2"/>
      </rPr>
      <t xml:space="preserve"> luomutiloilla ruiskutukset jää pois ja tilalle kultivointi.  </t>
    </r>
  </si>
  <si>
    <r>
      <rPr>
        <b/>
        <sz val="14"/>
        <color indexed="8"/>
        <rFont val="Calibri"/>
        <family val="2"/>
      </rPr>
      <t>Viherlannoitusnurmi</t>
    </r>
    <r>
      <rPr>
        <sz val="14"/>
        <color indexed="8"/>
        <rFont val="Calibri"/>
        <family val="2"/>
      </rPr>
      <t xml:space="preserve"> luomussa sisältää keskikesän kesannoinnin viimeisenä vuonna.</t>
    </r>
  </si>
  <si>
    <t>Taulukko muuttuvien kustannusten laskentaa varten</t>
  </si>
  <si>
    <t xml:space="preserve">Yllä olevalla laskelmalla voidaan laskea tilakohtaiset muuttuvat kustannukset. Mallina on käytetty proagria Maaseutukeskusten Liiton julkaisemaa: Mallilaskelmia maataloudesta tai </t>
  </si>
  <si>
    <t>Valitse oikea tukialue ja korjaa pinta-alat, satomäärät, hinnat, tuet ja muuttuvat kustannukset vastaamaan tilan olosuhteita.</t>
  </si>
  <si>
    <t>Seoskasvusto</t>
  </si>
  <si>
    <t>Nurmet(säilörehu)</t>
  </si>
  <si>
    <t xml:space="preserve"> Tukikasvi vilja 46%</t>
  </si>
  <si>
    <t xml:space="preserve"> Herne 54% </t>
  </si>
  <si>
    <t>SYYSRYPSI</t>
  </si>
  <si>
    <t>Ymppiä/siem.kg</t>
  </si>
  <si>
    <t>(Ympätty)</t>
  </si>
  <si>
    <t>LHP (m.nurmet)</t>
  </si>
  <si>
    <t>Todellisilla  lannoitus ja kasvinsuojelukustannuksilla korjattu versio</t>
  </si>
  <si>
    <t>e/kg</t>
  </si>
  <si>
    <r>
      <rPr>
        <b/>
        <sz val="14"/>
        <color indexed="8"/>
        <rFont val="Calibri"/>
        <family val="2"/>
      </rPr>
      <t>Siemenkustannus</t>
    </r>
    <r>
      <rPr>
        <sz val="14"/>
        <color indexed="8"/>
        <rFont val="Calibri"/>
        <family val="2"/>
      </rPr>
      <t xml:space="preserve"> on laskettu </t>
    </r>
    <r>
      <rPr>
        <b/>
        <sz val="14"/>
        <color indexed="8"/>
        <rFont val="Calibri"/>
        <family val="2"/>
      </rPr>
      <t>omalla siemenellä</t>
    </r>
    <r>
      <rPr>
        <sz val="14"/>
        <color indexed="8"/>
        <rFont val="Calibri"/>
        <family val="2"/>
      </rPr>
      <t>. Sadosta saatava hinta + (kunnostus+ peittaus+tos yht. 0,11-0,14)</t>
    </r>
  </si>
  <si>
    <t xml:space="preserve">Muuttuvat kustannukset yhteensä </t>
  </si>
  <si>
    <t xml:space="preserve">  Viljo</t>
  </si>
  <si>
    <t>Säilörehu</t>
  </si>
  <si>
    <t xml:space="preserve">Kevätvehnä </t>
  </si>
  <si>
    <t>Lannoitteiden hintatiedot</t>
  </si>
  <si>
    <t>Syysrypsi</t>
  </si>
  <si>
    <t>OHJE:</t>
  </si>
  <si>
    <r>
      <rPr>
        <b/>
        <sz val="16"/>
        <color indexed="8"/>
        <rFont val="Calibri"/>
        <family val="2"/>
      </rPr>
      <t>Lannoitteiden hinta päivittyy soluista E2-E10</t>
    </r>
    <r>
      <rPr>
        <sz val="16"/>
        <color indexed="8"/>
        <rFont val="Calibri"/>
        <family val="2"/>
      </rPr>
      <t xml:space="preserve">. </t>
    </r>
    <r>
      <rPr>
        <b/>
        <sz val="16"/>
        <color indexed="8"/>
        <rFont val="Calibri"/>
        <family val="2"/>
      </rPr>
      <t xml:space="preserve">Kasvien muuttuvatkustannukset on linkitetty ja ne muuttuvat automaattisesti satomäärien mukaisesti. </t>
    </r>
    <r>
      <rPr>
        <sz val="16"/>
        <color indexed="8"/>
        <rFont val="Calibri"/>
        <family val="2"/>
      </rPr>
      <t>Tarvittaessa tehdään muutokset lannoitemääriin, jotta valittu satotaso saavutetaan. Lisäysaineistona on esimerkissä käytetty omaa siementä.</t>
    </r>
  </si>
  <si>
    <r>
      <rPr>
        <b/>
        <sz val="16"/>
        <color indexed="8"/>
        <rFont val="Calibri"/>
        <family val="2"/>
      </rPr>
      <t>Jos lisäät tai muutat kasveja laskelmapohjassa</t>
    </r>
    <r>
      <rPr>
        <sz val="16"/>
        <color indexed="8"/>
        <rFont val="Calibri"/>
        <family val="2"/>
      </rPr>
      <t>, niin tarkista ja tee tarvittavat linkitykset soluihin</t>
    </r>
  </si>
  <si>
    <t>Sv1</t>
  </si>
  <si>
    <t>Sv2</t>
  </si>
  <si>
    <t>Yara Y1</t>
  </si>
  <si>
    <t>Nurmen Y2</t>
  </si>
  <si>
    <t>Arvo</t>
  </si>
  <si>
    <t>YaraMila Pellon  Y1</t>
  </si>
  <si>
    <t>YaraMila Pellon Y 5</t>
  </si>
  <si>
    <t xml:space="preserve"> YaraMila Pellon Y 2 </t>
  </si>
  <si>
    <t>Luomutarkastusmaksun enimmäismäärä 800 euroa/vuosi, kun summa ylittyy, niin muuttuvista kustannuksista tark.maksu nollataan ja perusmaksukohtaan merkitään 800 €/v</t>
  </si>
  <si>
    <t>Taulukko 1C1. Vuoden 2013 pinta-alaperusteiset tuet C1-alueella (euroa/ha)</t>
  </si>
  <si>
    <t>EU-tuot.tuet 2)</t>
  </si>
  <si>
    <t>Ymp. per.toim.piteet 4)</t>
  </si>
  <si>
    <t>Ymp. lisä-toimen-piteet 4)</t>
  </si>
  <si>
    <t>Hedelmät / kasvitila</t>
  </si>
  <si>
    <t>Luonnonhoitopelto, monimuotoisuuspelto 7)</t>
  </si>
  <si>
    <t>Luonnonhoitopelto, monivuotinen nurmi 7)</t>
  </si>
  <si>
    <t>Muu LFA-tuellinen hoidettu viljelemätön 7)</t>
  </si>
  <si>
    <t>1) Tämän taulukon tilatukisarakkeessa ovat mukana tilatuen tasatukiosa ja kasvinviljelyn perusteella maksettavat tilatuen lisäosat (tärkkelysperuna ja sokerijuurikas). Kotieläintuotannon perusteella saatavat tilatuen lisäosat on otettu huomioon taulukossa 5, vaikka lisäosat maksetaan käytännössä tilatuen osana. Vuodesta 2009 alkaen EU-tukien modulaatio on jaettu osaan (yli 5 000 - 300 000 euroa/tila ja yli 300 000 euroa). Modulaatio on vuonna 2013 yli 5 000 - 300 000 euron osalta 10 % ja yli 300 000 euron osalta 14 %. Tuet maksetaan täysimääräisinä 5 000 euroon saakka ja siitä eteenpäin modulaatiolla leikattuna. Lisäksi EU tekee vuoden 2013 EU:n suoriin tukiin 2,453658 %:n leikkauksen 2 000 euroa ylittävältä osalta (MMM:n tiedote 22.11.2013). Tässä taulukossa luvut on esitetty 50 hehtaarin kasvitilan mukaan. Tilatuen tasatukiosuus C1-alueella (50 ha/tila x 201,00 euroa/ha = 10 050 euroa/tila). Tukimodulaatio ja tukileikkaus 10 % x (10 050 euroa/tila - 5 000 euroa/tila) + 2,453658 % x (10 050 euroa/tila - 2 000 euroa/tila) = 702,52 euroa/tila. Maksettava tuki 10 050 euroa/tila - 702,52 euroa/tila = 9347,48 euroa/tila = 186,95 euroa/ha.</t>
  </si>
  <si>
    <t>2) EU-tuotantotukien sarakkeessa ovat EU:n valkuais- ja öljykasvipalkkio ja tärkkelysperunapalkkio. Lisäksi EU tekee vuoden 2013 EU:n suoriin tukiin 2,453658 %:n leikkauksen 2 000 euroa ylittävältä osalta (MMM:n tiedote 22.11.2013). Modulaation ja lisäleikkauksen yhteismääräksi on laskettu tä+A37ssä taulukossa 12,453658 %. Valkuais- ja öljykasvipalkkion määrä 91,50 e/ha - tukileikkaukset 12,453658 % = 80,10 e/ha. Tärkkelysperunapalkkio 560 e/ha - tukileikkaukset 12,453658 % = 490,26 e/ha (valtioneuvoston asetus 823/2013).</t>
  </si>
  <si>
    <t>3) LFA-tuki 150 euroa/ha + kansallinen lisäosa. LFA-tuen kansallista lisäosaa maksetaan vuodesta 2005 alkaen siten, että kotieläintiloille (rajana vähintään 0,4 eläinyksikköä/hehtaari, jos tilalla on alle 10 eläinyksikköä ja vähintään 0,2 eläinyksikköä/hehtaari, jos tilalla on vähintään 10 eläinyksikköä) maksetaan korkeampaa tukea kuin muille tilolle. Eläintiheyden laskennassa käytetään normaalitapauksessa kunkin tukivuoden viljelyalaa ja edellisen vuoden eläinmäärää. Vuodelta 2013 lisäosaa maksettiin A-C1 -alueella kotieläintiloilla 100 euroa/ha ja muilla tiloilla 20 euroa/ha.</t>
  </si>
  <si>
    <t>4) Peltokasvien osalta ympäristötuki perustoimenpiteistä on kasvinviljelytilalla 93 euroa/ha, kotieläintilalla 107 euroa/ha ja kasvipeitteisestä kesannosta 39 euroa/ha sekä ryhmä 1:n puutarhakasveilla 450 euroa/ha, ryhmä 2:n puutarhakasveilla 438 euroa/ha ja siemenmausteilla 181 euroa/ha. Lisätoimenpiteitä on valittavissa C-alueilla 0 - 2 kpl. Lisätoimenpidevaihtoehtoja ovat vähennetty lannoitus 10 e/ha, typpilannoituksen tarkentaminen peltokasveilla 23 e/ha, talviaikainen kasvipeite ja kevennetty muokkaus 11 e/ha, lannan levitys kasvukaudella 27 e/ha, ravinnetasetoimenpide 18 e/ha ja laajaperäinen nurmituotanto 49 e/ha. Puutarhatilalla lisätoimenpiteitä on valittavissa C-alueilla 0 - 2 kpl, joista enintään yksi on puutarhakasvien lisätoimenpide. Puutarhakasvien lisätoimenpidevaihtoehtoja ovat lisäksi typpilannoituksen tarkentaminen puutarhakasveilla 90 e/ha, katteen käyttö monivuotisilla puutarhakasveilla 256 e/ha ja tuhoeläinten seurantamenetelmien käyttö 144 e/ha.</t>
  </si>
  <si>
    <t>Taulukossa lisätoimenpide-esimerkkeinä on otettu huomioon: Kasvi- ja kotieläintiloilla typpilannoituksen tarkentaminen peltokasveilla 23 e/ha. Avomaavihanneksilla ja koriste- ja lääkekasveilla tuhoeläinten seurantamenetelmien käyttö 144 e/ha (tukikaton takia lisätoimenpiteistä korkeintaan 150 e/ha). Siemenmausteilla tuhoeläinten seurantamenetelmien käyttö 144 e/ha. Marjoilla, omenalla ja muilla hedelmillä katteen käyttö monivuotisilla puutarhakasveilla 256 e/ha + tuhoeläinten seurantamenetelmien käyttö 144 e/ha = 400 e/ha.</t>
  </si>
  <si>
    <t>Erityistukisopimuksissa luonnonmukaisen viljelyn tukena on 141 e/ha siitä lähtien, kun luonnonmukainen tuotanto lohkolla aloitetaan. Luonnonmukaisen kotieläintuotannon tuki on 126 e/ha, kun tilalla on vähintään 0,5 ey/ha. Jos eläintiheys on alle 0,5 ey/ha, tuen laskennassa otetaan huomioon peltohehtaarimäärä, joka saadaan kertomalla tilan eläinyksikkömäärä kahdella.</t>
  </si>
  <si>
    <t>5) Lisäksi nuorille viljelijöille maksetaan nuorten viljelijöiden pohjoista tukea 36 euroa/ha, jota ei ole otettu huomioon taulukon luvuissa (valtioneuvoston asetus 19/2013).</t>
  </si>
  <si>
    <t>6) Sokerijuurikkaan hinnanalennuskorvaus sisältäen alueellistamislisän maksetaan tilatuen lisäosana vuoden 2005 sokerin perustoimisoikeuden mukaan. Esimerkiksi 35 tn/ha satomäärä vastaava sopimus voisi olla 35 tn/ha x sokeripitoisuus 16,7 % x saanto 85 % = 4,97 sokeritn/ha. EU tekee vuoden 2013 EU:n suoriin tukiin 2,453658 %:n leikkauksen 2 000 euroa ylittävältä osalta (MMM:n tiedote 22.11.2013). Modulaation ja lisäleikkauksen yhteismääräksi on laskettu tässä taulukossa 12,453658 %. Tuen määrä vuonna 2013 ottaen huomioon tukileikkaukset: 4,97 sokeritn/ha x 87,546342 % x 92,82 e/sokeritn = 403,86 euroa/ha. Sokerijuurikkaan hinnan laskua korvataan Suomessa osittain myös kansallisella tuella, kun sokerijuurikkaan perushinta aleni vuodesta 2006 alkaen. Kansallisen tuen määrä on 350 euroa/ha (valtioneuvoston asetus 21/2013).</t>
  </si>
  <si>
    <t>7) Luonnonhoitopelloille ja kesannoille maksetaan LFA-tuki, jos niiden ala on yhteensä enintään 50 % kokonaisalasta.</t>
  </si>
  <si>
    <t>© ProAgria Keskusten Liitto 2.1.2014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</si>
</sst>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d\.m\.yyyy"/>
    <numFmt numFmtId="166" formatCode="0.000"/>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 numFmtId="172" formatCode="0.0000"/>
  </numFmts>
  <fonts count="94">
    <font>
      <sz val="12"/>
      <color theme="1"/>
      <name val="Calibri"/>
      <family val="2"/>
    </font>
    <font>
      <sz val="12"/>
      <color indexed="8"/>
      <name val="Calibri"/>
      <family val="2"/>
    </font>
    <font>
      <b/>
      <sz val="12"/>
      <name val="Arial"/>
      <family val="2"/>
    </font>
    <font>
      <sz val="10"/>
      <name val="Arial"/>
      <family val="2"/>
    </font>
    <font>
      <b/>
      <sz val="10"/>
      <name val="Arial"/>
      <family val="2"/>
    </font>
    <font>
      <sz val="11"/>
      <name val="Arial"/>
      <family val="2"/>
    </font>
    <font>
      <b/>
      <sz val="8"/>
      <name val="Arial"/>
      <family val="2"/>
    </font>
    <font>
      <b/>
      <sz val="9"/>
      <name val="Arial"/>
      <family val="2"/>
    </font>
    <font>
      <sz val="12"/>
      <name val="Arial"/>
      <family val="2"/>
    </font>
    <font>
      <sz val="14"/>
      <name val="Arial"/>
      <family val="2"/>
    </font>
    <font>
      <b/>
      <sz val="11"/>
      <name val="Arial"/>
      <family val="2"/>
    </font>
    <font>
      <sz val="8"/>
      <name val="Arial"/>
      <family val="2"/>
    </font>
    <font>
      <b/>
      <sz val="14"/>
      <name val="Arial"/>
      <family val="2"/>
    </font>
    <font>
      <b/>
      <sz val="20"/>
      <name val="Arial"/>
      <family val="2"/>
    </font>
    <font>
      <b/>
      <sz val="12"/>
      <color indexed="56"/>
      <name val="Arial"/>
      <family val="2"/>
    </font>
    <font>
      <b/>
      <sz val="14"/>
      <color indexed="8"/>
      <name val="Calibri"/>
      <family val="2"/>
    </font>
    <font>
      <sz val="14"/>
      <color indexed="8"/>
      <name val="Calibri"/>
      <family val="2"/>
    </font>
    <font>
      <sz val="14"/>
      <color indexed="10"/>
      <name val="Calibri"/>
      <family val="2"/>
    </font>
    <font>
      <b/>
      <sz val="16"/>
      <name val="Arial"/>
      <family val="2"/>
    </font>
    <font>
      <b/>
      <sz val="16"/>
      <color indexed="8"/>
      <name val="Calibri"/>
      <family val="2"/>
    </font>
    <font>
      <sz val="16"/>
      <color indexed="8"/>
      <name val="Calibri"/>
      <family val="2"/>
    </font>
    <font>
      <sz val="9.5"/>
      <color indexed="8"/>
      <name val="Arial"/>
      <family val="0"/>
    </font>
    <font>
      <sz val="12"/>
      <color indexed="9"/>
      <name val="Calibri"/>
      <family val="2"/>
    </font>
    <font>
      <u val="single"/>
      <sz val="6.6"/>
      <color indexed="20"/>
      <name val="Calibri"/>
      <family val="2"/>
    </font>
    <font>
      <sz val="12"/>
      <color indexed="20"/>
      <name val="Calibri"/>
      <family val="2"/>
    </font>
    <font>
      <u val="single"/>
      <sz val="10"/>
      <color indexed="12"/>
      <name val="Arial"/>
      <family val="2"/>
    </font>
    <font>
      <sz val="12"/>
      <color indexed="17"/>
      <name val="Calibri"/>
      <family val="2"/>
    </font>
    <font>
      <b/>
      <sz val="12"/>
      <color indexed="52"/>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2"/>
      <color indexed="23"/>
      <name val="Calibri"/>
      <family val="2"/>
    </font>
    <font>
      <b/>
      <sz val="12"/>
      <color indexed="8"/>
      <name val="Calibri"/>
      <family val="2"/>
    </font>
    <font>
      <sz val="12"/>
      <color indexed="62"/>
      <name val="Calibri"/>
      <family val="2"/>
    </font>
    <font>
      <b/>
      <sz val="12"/>
      <color indexed="9"/>
      <name val="Calibri"/>
      <family val="2"/>
    </font>
    <font>
      <b/>
      <sz val="12"/>
      <color indexed="63"/>
      <name val="Calibri"/>
      <family val="2"/>
    </font>
    <font>
      <sz val="12"/>
      <color indexed="10"/>
      <name val="Calibri"/>
      <family val="2"/>
    </font>
    <font>
      <b/>
      <sz val="22"/>
      <color indexed="8"/>
      <name val="Calibri"/>
      <family val="2"/>
    </font>
    <font>
      <b/>
      <sz val="12"/>
      <color indexed="10"/>
      <name val="Calibri"/>
      <family val="2"/>
    </font>
    <font>
      <b/>
      <i/>
      <sz val="12"/>
      <color indexed="17"/>
      <name val="Calibri"/>
      <family val="2"/>
    </font>
    <font>
      <sz val="12"/>
      <name val="Calibri"/>
      <family val="2"/>
    </font>
    <font>
      <sz val="10"/>
      <color indexed="8"/>
      <name val="Calibri"/>
      <family val="2"/>
    </font>
    <font>
      <b/>
      <sz val="12"/>
      <name val="Calibri"/>
      <family val="2"/>
    </font>
    <font>
      <b/>
      <sz val="10"/>
      <color indexed="8"/>
      <name val="Arial"/>
      <family val="2"/>
    </font>
    <font>
      <b/>
      <sz val="18"/>
      <color indexed="8"/>
      <name val="Calibri"/>
      <family val="2"/>
    </font>
    <font>
      <sz val="10"/>
      <name val="Calibri"/>
      <family val="2"/>
    </font>
    <font>
      <sz val="14"/>
      <name val="Calibri"/>
      <family val="2"/>
    </font>
    <font>
      <b/>
      <sz val="16"/>
      <name val="Calibri"/>
      <family val="2"/>
    </font>
    <font>
      <b/>
      <sz val="11"/>
      <color indexed="60"/>
      <name val="Arial"/>
      <family val="2"/>
    </font>
    <font>
      <sz val="11"/>
      <name val="Calibri"/>
      <family val="2"/>
    </font>
    <font>
      <sz val="11"/>
      <color indexed="10"/>
      <name val="Arial"/>
      <family val="2"/>
    </font>
    <font>
      <b/>
      <sz val="14"/>
      <name val="Calibri"/>
      <family val="2"/>
    </font>
    <font>
      <sz val="10"/>
      <color indexed="10"/>
      <name val="Arial"/>
      <family val="2"/>
    </font>
    <font>
      <b/>
      <sz val="22"/>
      <name val="Calibri"/>
      <family val="2"/>
    </font>
    <font>
      <b/>
      <sz val="12"/>
      <color indexed="8"/>
      <name val="Arial"/>
      <family val="0"/>
    </font>
    <font>
      <b/>
      <sz val="14"/>
      <color indexed="8"/>
      <name val="Arial"/>
      <family val="0"/>
    </font>
    <font>
      <b/>
      <sz val="16"/>
      <color indexed="8"/>
      <name val="Arial"/>
      <family val="0"/>
    </font>
    <font>
      <b/>
      <sz val="11.5"/>
      <color indexed="8"/>
      <name val="Arial"/>
      <family val="0"/>
    </font>
    <font>
      <sz val="11"/>
      <color indexed="8"/>
      <name val="Arial"/>
      <family val="0"/>
    </font>
    <font>
      <sz val="12"/>
      <color indexed="8"/>
      <name val="Arial"/>
      <family val="0"/>
    </font>
    <font>
      <sz val="12"/>
      <color theme="0"/>
      <name val="Calibri"/>
      <family val="2"/>
    </font>
    <font>
      <u val="single"/>
      <sz val="6.6"/>
      <color theme="11"/>
      <name val="Calibri"/>
      <family val="2"/>
    </font>
    <font>
      <sz val="12"/>
      <color rgb="FF9C0006"/>
      <name val="Calibri"/>
      <family val="2"/>
    </font>
    <font>
      <u val="single"/>
      <sz val="10"/>
      <color theme="10"/>
      <name val="Arial"/>
      <family val="2"/>
    </font>
    <font>
      <sz val="12"/>
      <color rgb="FF006100"/>
      <name val="Calibri"/>
      <family val="2"/>
    </font>
    <font>
      <b/>
      <sz val="12"/>
      <color rgb="FFFA7D0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2"/>
      <color rgb="FF7F7F7F"/>
      <name val="Calibri"/>
      <family val="2"/>
    </font>
    <font>
      <b/>
      <sz val="12"/>
      <color theme="1"/>
      <name val="Calibri"/>
      <family val="2"/>
    </font>
    <font>
      <sz val="12"/>
      <color rgb="FF3F3F76"/>
      <name val="Calibri"/>
      <family val="2"/>
    </font>
    <font>
      <b/>
      <sz val="12"/>
      <color theme="0"/>
      <name val="Calibri"/>
      <family val="2"/>
    </font>
    <font>
      <b/>
      <sz val="12"/>
      <color rgb="FF3F3F3F"/>
      <name val="Calibri"/>
      <family val="2"/>
    </font>
    <font>
      <sz val="12"/>
      <color rgb="FFFF0000"/>
      <name val="Calibri"/>
      <family val="2"/>
    </font>
    <font>
      <b/>
      <sz val="22"/>
      <color theme="1"/>
      <name val="Calibri"/>
      <family val="2"/>
    </font>
    <font>
      <b/>
      <sz val="12"/>
      <color rgb="FFFF0000"/>
      <name val="Calibri"/>
      <family val="2"/>
    </font>
    <font>
      <b/>
      <sz val="14"/>
      <color theme="1"/>
      <name val="Calibri"/>
      <family val="2"/>
    </font>
    <font>
      <b/>
      <i/>
      <sz val="12"/>
      <color theme="6" tint="-0.4999699890613556"/>
      <name val="Calibri"/>
      <family val="2"/>
    </font>
    <font>
      <sz val="14"/>
      <color theme="1"/>
      <name val="Calibri"/>
      <family val="2"/>
    </font>
    <font>
      <sz val="10"/>
      <color theme="1"/>
      <name val="Calibri"/>
      <family val="2"/>
    </font>
    <font>
      <b/>
      <sz val="10"/>
      <color theme="1"/>
      <name val="Arial"/>
      <family val="2"/>
    </font>
    <font>
      <b/>
      <sz val="18"/>
      <color theme="1"/>
      <name val="Calibri"/>
      <family val="2"/>
    </font>
    <font>
      <b/>
      <sz val="16"/>
      <color theme="1"/>
      <name val="Calibri"/>
      <family val="2"/>
    </font>
    <font>
      <b/>
      <sz val="11"/>
      <color rgb="FFC00000"/>
      <name val="Arial"/>
      <family val="2"/>
    </font>
    <font>
      <sz val="11"/>
      <color rgb="FFFF0000"/>
      <name val="Arial"/>
      <family val="2"/>
    </font>
    <font>
      <sz val="16"/>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medium"/>
      <bottom/>
    </border>
    <border>
      <left style="medium"/>
      <right style="medium"/>
      <top style="medium"/>
      <bottom/>
    </border>
    <border>
      <left style="medium"/>
      <right/>
      <top style="medium"/>
      <bottom/>
    </border>
    <border>
      <left/>
      <right/>
      <top/>
      <bottom style="thin"/>
    </border>
    <border>
      <left style="medium"/>
      <right style="medium"/>
      <top/>
      <bottom/>
    </border>
    <border>
      <left style="medium"/>
      <right style="medium"/>
      <top/>
      <bottom style="medium"/>
    </border>
    <border>
      <left style="thin"/>
      <right/>
      <top/>
      <bottom/>
    </border>
    <border>
      <left style="medium"/>
      <right/>
      <top/>
      <bottom/>
    </border>
    <border>
      <left/>
      <right style="thin"/>
      <top/>
      <bottom/>
    </border>
    <border>
      <left/>
      <right style="medium"/>
      <top/>
      <bottom/>
    </border>
    <border>
      <left/>
      <right style="medium"/>
      <top style="medium"/>
      <bottom/>
    </border>
    <border>
      <left style="medium"/>
      <right/>
      <top/>
      <bottom style="thin"/>
    </border>
    <border>
      <left/>
      <right style="thin"/>
      <top/>
      <bottom style="thin"/>
    </border>
    <border>
      <left style="medium"/>
      <right/>
      <top/>
      <bottom style="medium"/>
    </border>
    <border>
      <left/>
      <right/>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style="thin"/>
      <top style="thin"/>
      <bottom style="thin"/>
    </border>
    <border>
      <left/>
      <right/>
      <top/>
      <bottom style="medium"/>
    </border>
    <border>
      <left style="thin"/>
      <right/>
      <top style="thin"/>
      <bottom/>
    </border>
    <border>
      <left/>
      <right style="medium"/>
      <top style="medium"/>
      <bottom style="medium"/>
    </border>
    <border>
      <left/>
      <right style="medium"/>
      <top/>
      <bottom style="thin"/>
    </border>
    <border>
      <left/>
      <right style="medium"/>
      <top/>
      <bottom style="medium"/>
    </border>
    <border>
      <left/>
      <right/>
      <top style="thin"/>
      <bottom/>
    </border>
    <border>
      <left/>
      <right style="thin"/>
      <top style="thin"/>
      <bottom/>
    </border>
    <border>
      <left style="thin"/>
      <right/>
      <top/>
      <bottom style="thin"/>
    </border>
    <border>
      <left style="thin"/>
      <right style="thin"/>
      <top/>
      <bottom style="thin"/>
    </border>
    <border>
      <left style="medium"/>
      <right style="thin"/>
      <top style="thin"/>
      <bottom style="medium"/>
    </border>
    <border>
      <left/>
      <right style="medium"/>
      <top style="thin"/>
      <bottom/>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style="thin"/>
      <right/>
      <top style="thin"/>
      <bottom style="thin"/>
    </border>
    <border>
      <left>
        <color indexed="63"/>
      </left>
      <right>
        <color indexed="63"/>
      </right>
      <top style="thin"/>
      <bottom style="thin"/>
    </border>
    <border>
      <left style="medium"/>
      <right/>
      <top style="thin"/>
      <bottom style="thin"/>
    </border>
    <border>
      <left style="thin"/>
      <right style="thin"/>
      <top style="thin"/>
      <bottom/>
    </border>
    <border>
      <left>
        <color indexed="63"/>
      </left>
      <right style="medium"/>
      <top style="thin"/>
      <bottom style="thin"/>
    </border>
    <border>
      <left style="medium"/>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border>
    <border>
      <left style="thin"/>
      <right style="thin"/>
      <top/>
      <bottom style="dotted"/>
    </border>
    <border>
      <left style="thin"/>
      <right>
        <color indexed="63"/>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0" fillId="26" borderId="1" applyNumberFormat="0" applyFont="0" applyAlignment="0" applyProtection="0"/>
    <xf numFmtId="0" fontId="65" fillId="27" borderId="0" applyNumberFormat="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2" applyNumberFormat="0" applyAlignment="0" applyProtection="0"/>
    <xf numFmtId="0" fontId="69" fillId="0" borderId="3" applyNumberFormat="0" applyFill="0" applyAlignment="0" applyProtection="0"/>
    <xf numFmtId="0" fontId="70" fillId="30"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77" fillId="31" borderId="2" applyNumberFormat="0" applyAlignment="0" applyProtection="0"/>
    <xf numFmtId="0" fontId="78" fillId="32" borderId="8" applyNumberFormat="0" applyAlignment="0" applyProtection="0"/>
    <xf numFmtId="0" fontId="7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cellStyleXfs>
  <cellXfs count="578">
    <xf numFmtId="0" fontId="0" fillId="0" borderId="0" xfId="0" applyFont="1" applyAlignment="1">
      <alignment/>
    </xf>
    <xf numFmtId="0" fontId="81" fillId="0" borderId="0" xfId="0" applyFont="1" applyAlignment="1">
      <alignment/>
    </xf>
    <xf numFmtId="0" fontId="5" fillId="0" borderId="0" xfId="0" applyFont="1" applyAlignment="1" applyProtection="1">
      <alignment/>
      <protection locked="0"/>
    </xf>
    <xf numFmtId="0" fontId="6" fillId="0" borderId="0" xfId="0" applyFont="1" applyBorder="1" applyAlignment="1" applyProtection="1">
      <alignment horizontal="left"/>
      <protection locked="0"/>
    </xf>
    <xf numFmtId="0" fontId="7" fillId="0" borderId="0" xfId="0" applyFont="1" applyAlignment="1" applyProtection="1" quotePrefix="1">
      <alignment horizontal="center"/>
      <protection locked="0"/>
    </xf>
    <xf numFmtId="0" fontId="82" fillId="0" borderId="0" xfId="0" applyFont="1" applyAlignment="1">
      <alignment horizontal="center"/>
    </xf>
    <xf numFmtId="0" fontId="4" fillId="0" borderId="0"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pplyProtection="1">
      <alignment/>
      <protection/>
    </xf>
    <xf numFmtId="0" fontId="5" fillId="0" borderId="0" xfId="0" applyFont="1" applyBorder="1" applyAlignment="1" applyProtection="1">
      <alignment horizontal="centerContinuous"/>
      <protection/>
    </xf>
    <xf numFmtId="165" fontId="0" fillId="0" borderId="0" xfId="0" applyNumberFormat="1" applyAlignment="1" quotePrefix="1">
      <alignment/>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locked="0"/>
    </xf>
    <xf numFmtId="0" fontId="4" fillId="0" borderId="0" xfId="0" applyFont="1" applyBorder="1" applyAlignment="1">
      <alignment horizontal="center"/>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locked="0"/>
    </xf>
    <xf numFmtId="1" fontId="8" fillId="0" borderId="10" xfId="0" applyNumberFormat="1" applyFont="1" applyFill="1" applyBorder="1" applyAlignment="1" applyProtection="1">
      <alignment horizontal="center"/>
      <protection/>
    </xf>
    <xf numFmtId="164" fontId="8" fillId="0" borderId="11" xfId="0" applyNumberFormat="1" applyFont="1" applyFill="1" applyBorder="1" applyAlignment="1">
      <alignment horizontal="center"/>
    </xf>
    <xf numFmtId="0" fontId="5" fillId="0" borderId="12" xfId="0" applyFont="1" applyBorder="1" applyAlignment="1" applyProtection="1">
      <alignment/>
      <protection/>
    </xf>
    <xf numFmtId="1" fontId="8" fillId="0" borderId="0" xfId="0" applyNumberFormat="1" applyFont="1" applyFill="1" applyBorder="1" applyAlignment="1" applyProtection="1">
      <alignment horizontal="center"/>
      <protection/>
    </xf>
    <xf numFmtId="0" fontId="3" fillId="0" borderId="0" xfId="0" applyFont="1" applyAlignment="1">
      <alignment/>
    </xf>
    <xf numFmtId="0" fontId="3" fillId="0" borderId="0" xfId="0" applyFont="1" applyAlignment="1">
      <alignment horizontal="center"/>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xf>
    <xf numFmtId="0" fontId="0" fillId="0" borderId="0" xfId="0" applyFill="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1" fontId="5" fillId="0" borderId="13" xfId="0" applyNumberFormat="1" applyFont="1" applyBorder="1" applyAlignment="1">
      <alignment horizontal="center" vertical="center"/>
    </xf>
    <xf numFmtId="0" fontId="83" fillId="0" borderId="0" xfId="0" applyFont="1" applyFill="1" applyAlignment="1">
      <alignment/>
    </xf>
    <xf numFmtId="0" fontId="83" fillId="0" borderId="0" xfId="0" applyFont="1" applyAlignment="1">
      <alignment/>
    </xf>
    <xf numFmtId="1" fontId="5" fillId="0" borderId="13" xfId="0" applyNumberFormat="1" applyFont="1" applyBorder="1" applyAlignment="1">
      <alignment horizontal="center"/>
    </xf>
    <xf numFmtId="0" fontId="0" fillId="0" borderId="0" xfId="0" applyFill="1" applyAlignment="1">
      <alignment horizontal="center"/>
    </xf>
    <xf numFmtId="0" fontId="84" fillId="0" borderId="0" xfId="0" applyFont="1" applyAlignment="1">
      <alignment/>
    </xf>
    <xf numFmtId="0" fontId="8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 fontId="5" fillId="0" borderId="0" xfId="0" applyNumberFormat="1" applyFont="1" applyBorder="1" applyAlignment="1">
      <alignment horizontal="center" vertical="center"/>
    </xf>
    <xf numFmtId="0" fontId="5" fillId="0" borderId="0" xfId="0" applyFont="1" applyBorder="1" applyAlignment="1">
      <alignment horizontal="center"/>
    </xf>
    <xf numFmtId="1" fontId="5" fillId="0" borderId="0" xfId="0" applyNumberFormat="1" applyFont="1" applyBorder="1" applyAlignment="1">
      <alignment horizontal="center"/>
    </xf>
    <xf numFmtId="167" fontId="5" fillId="0" borderId="0" xfId="0" applyNumberFormat="1" applyFont="1" applyBorder="1" applyAlignment="1">
      <alignment horizontal="center"/>
    </xf>
    <xf numFmtId="2"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43" fillId="0" borderId="0" xfId="0" applyFont="1" applyFill="1" applyAlignment="1">
      <alignment/>
    </xf>
    <xf numFmtId="1" fontId="5" fillId="0" borderId="0" xfId="0" applyNumberFormat="1" applyFont="1" applyFill="1" applyBorder="1" applyAlignment="1" applyProtection="1">
      <alignment horizontal="center" vertical="center"/>
      <protection locked="0"/>
    </xf>
    <xf numFmtId="0" fontId="85" fillId="0" borderId="0" xfId="0" applyFont="1" applyAlignment="1">
      <alignment horizontal="center"/>
    </xf>
    <xf numFmtId="0" fontId="86" fillId="33" borderId="11" xfId="0" applyFont="1" applyFill="1" applyBorder="1" applyAlignment="1">
      <alignment horizontal="center" wrapText="1"/>
    </xf>
    <xf numFmtId="1" fontId="45" fillId="33" borderId="14" xfId="0" applyNumberFormat="1" applyFont="1" applyFill="1" applyBorder="1" applyAlignment="1">
      <alignment horizontal="center"/>
    </xf>
    <xf numFmtId="1" fontId="45" fillId="33" borderId="15" xfId="0" applyNumberFormat="1" applyFont="1" applyFill="1" applyBorder="1" applyAlignment="1">
      <alignment horizontal="center"/>
    </xf>
    <xf numFmtId="0" fontId="0" fillId="0" borderId="0" xfId="0" applyFont="1" applyAlignment="1">
      <alignment horizontal="center"/>
    </xf>
    <xf numFmtId="0" fontId="0" fillId="0" borderId="0" xfId="0" applyBorder="1" applyAlignment="1">
      <alignment horizontal="center"/>
    </xf>
    <xf numFmtId="0" fontId="76" fillId="0" borderId="0" xfId="0" applyFont="1" applyAlignment="1">
      <alignment horizontal="center"/>
    </xf>
    <xf numFmtId="0" fontId="82" fillId="0" borderId="0" xfId="0" applyFont="1" applyAlignment="1">
      <alignment/>
    </xf>
    <xf numFmtId="0" fontId="76" fillId="33" borderId="0" xfId="0" applyFont="1" applyFill="1" applyAlignment="1">
      <alignment horizontal="center"/>
    </xf>
    <xf numFmtId="0" fontId="83" fillId="0" borderId="0" xfId="0" applyFont="1" applyAlignment="1">
      <alignment horizontal="center"/>
    </xf>
    <xf numFmtId="0" fontId="87" fillId="0" borderId="0" xfId="0" applyFont="1" applyAlignment="1">
      <alignment horizontal="center"/>
    </xf>
    <xf numFmtId="1" fontId="82" fillId="33" borderId="16" xfId="0" applyNumberFormat="1" applyFont="1" applyFill="1" applyBorder="1" applyAlignment="1">
      <alignment horizontal="center"/>
    </xf>
    <xf numFmtId="0" fontId="5" fillId="0" borderId="17"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protection locked="0"/>
    </xf>
    <xf numFmtId="1" fontId="5" fillId="0" borderId="0" xfId="0" applyNumberFormat="1" applyFont="1" applyFill="1" applyBorder="1" applyAlignment="1">
      <alignment horizontal="center"/>
    </xf>
    <xf numFmtId="0" fontId="5" fillId="0" borderId="0" xfId="0" applyFont="1" applyFill="1" applyAlignment="1" applyProtection="1">
      <alignment horizontal="center"/>
      <protection locked="0"/>
    </xf>
    <xf numFmtId="0" fontId="85" fillId="0" borderId="0" xfId="0" applyFont="1" applyFill="1" applyAlignment="1">
      <alignment/>
    </xf>
    <xf numFmtId="164" fontId="4" fillId="0" borderId="0" xfId="0" applyNumberFormat="1" applyFont="1" applyBorder="1" applyAlignment="1" applyProtection="1">
      <alignment horizontal="center"/>
      <protection locked="0"/>
    </xf>
    <xf numFmtId="164" fontId="0" fillId="0" borderId="0" xfId="0" applyNumberFormat="1" applyAlignment="1">
      <alignment horizontal="center"/>
    </xf>
    <xf numFmtId="164" fontId="4" fillId="0" borderId="0"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0" xfId="0" applyFont="1" applyAlignment="1">
      <alignment horizontal="center"/>
    </xf>
    <xf numFmtId="0" fontId="84" fillId="0" borderId="0" xfId="0" applyFont="1" applyAlignment="1">
      <alignment horizontal="center"/>
    </xf>
    <xf numFmtId="0" fontId="5" fillId="0" borderId="0" xfId="0" applyFont="1" applyBorder="1" applyAlignment="1" applyProtection="1">
      <alignment horizontal="left"/>
      <protection/>
    </xf>
    <xf numFmtId="1" fontId="45" fillId="34" borderId="14" xfId="0" applyNumberFormat="1" applyFont="1" applyFill="1" applyBorder="1" applyAlignment="1">
      <alignment horizontal="center"/>
    </xf>
    <xf numFmtId="1" fontId="82" fillId="34" borderId="16" xfId="0" applyNumberFormat="1" applyFont="1" applyFill="1" applyBorder="1" applyAlignment="1">
      <alignment horizontal="center"/>
    </xf>
    <xf numFmtId="164" fontId="8" fillId="0" borderId="20" xfId="0" applyNumberFormat="1" applyFont="1" applyFill="1" applyBorder="1" applyAlignment="1">
      <alignment horizontal="center"/>
    </xf>
    <xf numFmtId="0" fontId="3" fillId="0" borderId="17" xfId="0" applyFont="1" applyFill="1" applyBorder="1" applyAlignment="1" applyProtection="1">
      <alignment horizontal="left"/>
      <protection/>
    </xf>
    <xf numFmtId="2" fontId="5" fillId="10" borderId="0" xfId="0" applyNumberFormat="1" applyFont="1" applyFill="1" applyBorder="1" applyAlignment="1" applyProtection="1">
      <alignment horizontal="center" vertical="center"/>
      <protection locked="0"/>
    </xf>
    <xf numFmtId="0" fontId="5" fillId="10" borderId="17" xfId="0" applyFont="1" applyFill="1" applyBorder="1" applyAlignment="1">
      <alignment horizontal="center" vertical="center"/>
    </xf>
    <xf numFmtId="0" fontId="5" fillId="10" borderId="0" xfId="0" applyFont="1" applyFill="1" applyBorder="1" applyAlignment="1">
      <alignment horizontal="center" vertical="center"/>
    </xf>
    <xf numFmtId="1" fontId="5" fillId="10" borderId="18"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5" fillId="10" borderId="0" xfId="0" applyNumberFormat="1" applyFont="1" applyFill="1" applyBorder="1" applyAlignment="1" applyProtection="1">
      <alignment horizontal="center"/>
      <protection locked="0"/>
    </xf>
    <xf numFmtId="0" fontId="5" fillId="10" borderId="17" xfId="0" applyFont="1" applyFill="1" applyBorder="1" applyAlignment="1">
      <alignment horizontal="center"/>
    </xf>
    <xf numFmtId="0" fontId="5" fillId="10" borderId="0" xfId="0" applyFont="1" applyFill="1" applyBorder="1" applyAlignment="1" applyProtection="1">
      <alignment horizontal="center"/>
      <protection locked="0"/>
    </xf>
    <xf numFmtId="1" fontId="5" fillId="10" borderId="17" xfId="0" applyNumberFormat="1" applyFont="1" applyFill="1" applyBorder="1" applyAlignment="1">
      <alignment horizontal="center" vertical="center"/>
    </xf>
    <xf numFmtId="1" fontId="5" fillId="10" borderId="0" xfId="0" applyNumberFormat="1" applyFont="1" applyFill="1" applyBorder="1" applyAlignment="1">
      <alignment horizontal="center" vertical="center"/>
    </xf>
    <xf numFmtId="2" fontId="5" fillId="10" borderId="13" xfId="0" applyNumberFormat="1" applyFont="1" applyFill="1" applyBorder="1" applyAlignment="1" applyProtection="1">
      <alignment horizontal="center"/>
      <protection locked="0"/>
    </xf>
    <xf numFmtId="1" fontId="5" fillId="10" borderId="21" xfId="0" applyNumberFormat="1" applyFont="1" applyFill="1" applyBorder="1" applyAlignment="1">
      <alignment horizontal="center" vertical="center"/>
    </xf>
    <xf numFmtId="1" fontId="5" fillId="10" borderId="22" xfId="0" applyNumberFormat="1" applyFont="1" applyFill="1" applyBorder="1" applyAlignment="1" applyProtection="1">
      <alignment horizontal="center" vertical="center"/>
      <protection locked="0"/>
    </xf>
    <xf numFmtId="1" fontId="5" fillId="10" borderId="13" xfId="0" applyNumberFormat="1" applyFont="1" applyFill="1" applyBorder="1" applyAlignment="1">
      <alignment horizontal="center" vertical="center"/>
    </xf>
    <xf numFmtId="2" fontId="5" fillId="10" borderId="0" xfId="0" applyNumberFormat="1" applyFont="1" applyFill="1" applyBorder="1" applyAlignment="1" applyProtection="1">
      <alignment horizontal="center"/>
      <protection locked="0"/>
    </xf>
    <xf numFmtId="1" fontId="5" fillId="10" borderId="18" xfId="0" applyNumberFormat="1" applyFont="1" applyFill="1" applyBorder="1" applyAlignment="1" applyProtection="1">
      <alignment horizontal="center"/>
      <protection locked="0"/>
    </xf>
    <xf numFmtId="0" fontId="5" fillId="10" borderId="0" xfId="0" applyFont="1" applyFill="1" applyBorder="1" applyAlignment="1">
      <alignment horizontal="center"/>
    </xf>
    <xf numFmtId="1" fontId="5" fillId="10" borderId="17" xfId="0" applyNumberFormat="1" applyFont="1" applyFill="1" applyBorder="1" applyAlignment="1">
      <alignment horizontal="center"/>
    </xf>
    <xf numFmtId="1" fontId="5" fillId="10" borderId="0" xfId="0" applyNumberFormat="1" applyFont="1" applyFill="1" applyBorder="1" applyAlignment="1">
      <alignment horizontal="center"/>
    </xf>
    <xf numFmtId="1" fontId="5" fillId="10" borderId="21" xfId="0" applyNumberFormat="1" applyFont="1" applyFill="1" applyBorder="1" applyAlignment="1">
      <alignment horizontal="center"/>
    </xf>
    <xf numFmtId="1" fontId="5" fillId="10" borderId="22" xfId="0" applyNumberFormat="1" applyFont="1" applyFill="1" applyBorder="1" applyAlignment="1" applyProtection="1">
      <alignment horizontal="center"/>
      <protection locked="0"/>
    </xf>
    <xf numFmtId="1" fontId="5" fillId="10" borderId="13" xfId="0" applyNumberFormat="1" applyFont="1" applyFill="1" applyBorder="1" applyAlignment="1">
      <alignment horizontal="center"/>
    </xf>
    <xf numFmtId="1" fontId="5" fillId="10" borderId="0" xfId="0" applyNumberFormat="1" applyFont="1" applyFill="1" applyBorder="1" applyAlignment="1" applyProtection="1">
      <alignment horizontal="center" vertical="center"/>
      <protection locked="0"/>
    </xf>
    <xf numFmtId="1" fontId="5" fillId="10" borderId="17" xfId="0" applyNumberFormat="1" applyFont="1" applyFill="1" applyBorder="1" applyAlignment="1" applyProtection="1">
      <alignment horizontal="center" vertical="center"/>
      <protection locked="0"/>
    </xf>
    <xf numFmtId="1" fontId="5" fillId="10" borderId="16" xfId="0" applyNumberFormat="1" applyFont="1" applyFill="1" applyBorder="1" applyAlignment="1" applyProtection="1">
      <alignment horizontal="center" vertical="center"/>
      <protection locked="0"/>
    </xf>
    <xf numFmtId="167" fontId="5" fillId="10" borderId="16" xfId="0" applyNumberFormat="1" applyFont="1" applyFill="1" applyBorder="1" applyAlignment="1" applyProtection="1">
      <alignment horizontal="center" vertical="center"/>
      <protection locked="0"/>
    </xf>
    <xf numFmtId="167" fontId="5" fillId="10" borderId="0" xfId="0" applyNumberFormat="1" applyFont="1" applyFill="1" applyBorder="1" applyAlignment="1">
      <alignment horizontal="center"/>
    </xf>
    <xf numFmtId="167" fontId="5" fillId="0" borderId="0" xfId="0" applyNumberFormat="1"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167" fontId="5" fillId="10" borderId="0" xfId="0" applyNumberFormat="1" applyFont="1" applyFill="1" applyBorder="1" applyAlignment="1" applyProtection="1">
      <alignment horizontal="center" vertical="center"/>
      <protection locked="0"/>
    </xf>
    <xf numFmtId="0" fontId="3" fillId="0" borderId="17" xfId="0" applyFont="1" applyFill="1" applyBorder="1" applyAlignment="1">
      <alignment horizontal="left"/>
    </xf>
    <xf numFmtId="0" fontId="5" fillId="0" borderId="0" xfId="0" applyFont="1" applyFill="1" applyBorder="1" applyAlignment="1" applyProtection="1">
      <alignment horizontal="left"/>
      <protection/>
    </xf>
    <xf numFmtId="0" fontId="3" fillId="0" borderId="23" xfId="0" applyFont="1" applyFill="1" applyBorder="1" applyAlignment="1" applyProtection="1">
      <alignment horizontal="left"/>
      <protection/>
    </xf>
    <xf numFmtId="2" fontId="5" fillId="34" borderId="0" xfId="0" applyNumberFormat="1" applyFont="1" applyFill="1" applyBorder="1" applyAlignment="1" applyProtection="1">
      <alignment horizontal="center" vertical="center"/>
      <protection locked="0"/>
    </xf>
    <xf numFmtId="0" fontId="5" fillId="34" borderId="17" xfId="0" applyFont="1" applyFill="1" applyBorder="1" applyAlignment="1">
      <alignment horizontal="center" vertical="center"/>
    </xf>
    <xf numFmtId="1" fontId="5" fillId="34" borderId="18"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vertical="center"/>
      <protection locked="0"/>
    </xf>
    <xf numFmtId="1" fontId="5" fillId="34" borderId="17"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xf>
    <xf numFmtId="2" fontId="5" fillId="34" borderId="13" xfId="0" applyNumberFormat="1" applyFont="1" applyFill="1" applyBorder="1" applyAlignment="1" applyProtection="1">
      <alignment horizontal="center"/>
      <protection locked="0"/>
    </xf>
    <xf numFmtId="1" fontId="5" fillId="34" borderId="21" xfId="0" applyNumberFormat="1" applyFont="1" applyFill="1" applyBorder="1" applyAlignment="1">
      <alignment horizontal="center" vertical="center"/>
    </xf>
    <xf numFmtId="1" fontId="5" fillId="34" borderId="22" xfId="0" applyNumberFormat="1" applyFont="1" applyFill="1" applyBorder="1" applyAlignment="1" applyProtection="1">
      <alignment horizontal="center" vertical="center"/>
      <protection locked="0"/>
    </xf>
    <xf numFmtId="1" fontId="5" fillId="34" borderId="13" xfId="0" applyNumberFormat="1" applyFont="1" applyFill="1" applyBorder="1" applyAlignment="1">
      <alignment horizontal="center" vertical="center"/>
    </xf>
    <xf numFmtId="2" fontId="5" fillId="34" borderId="0" xfId="0" applyNumberFormat="1" applyFont="1" applyFill="1" applyBorder="1" applyAlignment="1" applyProtection="1">
      <alignment horizontal="center"/>
      <protection locked="0"/>
    </xf>
    <xf numFmtId="0" fontId="5" fillId="34" borderId="17" xfId="0" applyFont="1" applyFill="1" applyBorder="1" applyAlignment="1">
      <alignment horizontal="center"/>
    </xf>
    <xf numFmtId="1" fontId="5" fillId="34" borderId="18"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5" fillId="34" borderId="0" xfId="0" applyFont="1" applyFill="1" applyBorder="1" applyAlignment="1" applyProtection="1">
      <alignment horizontal="center"/>
      <protection locked="0"/>
    </xf>
    <xf numFmtId="1" fontId="5" fillId="34" borderId="17" xfId="0" applyNumberFormat="1" applyFont="1" applyFill="1" applyBorder="1" applyAlignment="1">
      <alignment horizontal="center"/>
    </xf>
    <xf numFmtId="1" fontId="5" fillId="34" borderId="0" xfId="0" applyNumberFormat="1" applyFont="1" applyFill="1" applyBorder="1" applyAlignment="1">
      <alignment horizontal="center"/>
    </xf>
    <xf numFmtId="1" fontId="5" fillId="34" borderId="21" xfId="0" applyNumberFormat="1" applyFont="1" applyFill="1" applyBorder="1" applyAlignment="1">
      <alignment horizontal="center"/>
    </xf>
    <xf numFmtId="1" fontId="5" fillId="34" borderId="22" xfId="0" applyNumberFormat="1" applyFont="1" applyFill="1" applyBorder="1" applyAlignment="1" applyProtection="1">
      <alignment horizontal="center"/>
      <protection locked="0"/>
    </xf>
    <xf numFmtId="1" fontId="5" fillId="34" borderId="13" xfId="0" applyNumberFormat="1" applyFont="1" applyFill="1" applyBorder="1" applyAlignment="1">
      <alignment horizontal="center"/>
    </xf>
    <xf numFmtId="1" fontId="5" fillId="34" borderId="17" xfId="0" applyNumberFormat="1" applyFont="1" applyFill="1" applyBorder="1" applyAlignment="1" applyProtection="1">
      <alignment horizontal="center" vertical="center"/>
      <protection locked="0"/>
    </xf>
    <xf numFmtId="1" fontId="5" fillId="34" borderId="16" xfId="0" applyNumberFormat="1"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protection locked="0"/>
    </xf>
    <xf numFmtId="167" fontId="5" fillId="34" borderId="0" xfId="0" applyNumberFormat="1" applyFont="1" applyFill="1" applyBorder="1" applyAlignment="1" applyProtection="1">
      <alignment horizontal="center" vertical="center"/>
      <protection locked="0"/>
    </xf>
    <xf numFmtId="2" fontId="5" fillId="34" borderId="16" xfId="0" applyNumberFormat="1" applyFont="1" applyFill="1" applyBorder="1" applyAlignment="1" applyProtection="1">
      <alignment horizontal="center" vertical="center"/>
      <protection locked="0"/>
    </xf>
    <xf numFmtId="167" fontId="5" fillId="34" borderId="16" xfId="0" applyNumberFormat="1" applyFont="1" applyFill="1" applyBorder="1" applyAlignment="1" applyProtection="1">
      <alignment horizontal="center" vertical="center"/>
      <protection locked="0"/>
    </xf>
    <xf numFmtId="2" fontId="5" fillId="34" borderId="18" xfId="0" applyNumberFormat="1" applyFont="1" applyFill="1" applyBorder="1" applyAlignment="1" applyProtection="1">
      <alignment horizontal="center"/>
      <protection locked="0"/>
    </xf>
    <xf numFmtId="167" fontId="5" fillId="34" borderId="0" xfId="0" applyNumberFormat="1" applyFont="1" applyFill="1" applyBorder="1" applyAlignment="1">
      <alignment horizontal="center"/>
    </xf>
    <xf numFmtId="0" fontId="0" fillId="34" borderId="0" xfId="0" applyFill="1" applyAlignment="1">
      <alignment/>
    </xf>
    <xf numFmtId="0" fontId="12" fillId="34" borderId="24" xfId="0" applyFont="1" applyFill="1" applyBorder="1" applyAlignment="1" applyProtection="1">
      <alignment horizontal="center"/>
      <protection locked="0"/>
    </xf>
    <xf numFmtId="0" fontId="9" fillId="33" borderId="24" xfId="0" applyFont="1" applyFill="1" applyBorder="1" applyAlignment="1" applyProtection="1">
      <alignment horizontal="center" vertical="center"/>
      <protection locked="0"/>
    </xf>
    <xf numFmtId="1" fontId="9" fillId="33" borderId="25" xfId="0" applyNumberFormat="1" applyFont="1" applyFill="1" applyBorder="1" applyAlignment="1" applyProtection="1">
      <alignment horizontal="center" vertical="center"/>
      <protection locked="0"/>
    </xf>
    <xf numFmtId="2" fontId="2" fillId="34" borderId="24" xfId="0" applyNumberFormat="1" applyFont="1" applyFill="1" applyBorder="1" applyAlignment="1" applyProtection="1">
      <alignment horizontal="center" vertical="center"/>
      <protection locked="0"/>
    </xf>
    <xf numFmtId="1" fontId="2" fillId="34" borderId="25" xfId="0" applyNumberFormat="1"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2" fontId="2" fillId="10" borderId="24" xfId="0" applyNumberFormat="1" applyFont="1" applyFill="1" applyBorder="1" applyAlignment="1" applyProtection="1">
      <alignment horizontal="center" vertical="center"/>
      <protection locked="0"/>
    </xf>
    <xf numFmtId="1" fontId="2" fillId="10" borderId="25" xfId="0" applyNumberFormat="1" applyFont="1" applyFill="1" applyBorder="1" applyAlignment="1" applyProtection="1">
      <alignment horizontal="center" vertical="center"/>
      <protection locked="0"/>
    </xf>
    <xf numFmtId="0" fontId="2" fillId="10" borderId="24" xfId="0" applyFont="1" applyFill="1" applyBorder="1" applyAlignment="1" applyProtection="1">
      <alignment horizontal="center" vertical="center"/>
      <protection locked="0"/>
    </xf>
    <xf numFmtId="0" fontId="8" fillId="34" borderId="26" xfId="0" applyFont="1" applyFill="1" applyBorder="1" applyAlignment="1">
      <alignment horizontal="center" vertical="center"/>
    </xf>
    <xf numFmtId="0" fontId="8" fillId="10" borderId="26" xfId="0" applyFont="1" applyFill="1" applyBorder="1" applyAlignment="1">
      <alignment horizontal="center" vertical="center"/>
    </xf>
    <xf numFmtId="0" fontId="2" fillId="35" borderId="24" xfId="0" applyFont="1" applyFill="1" applyBorder="1" applyAlignment="1" applyProtection="1">
      <alignment horizontal="center" vertical="center"/>
      <protection locked="0"/>
    </xf>
    <xf numFmtId="2" fontId="5" fillId="33" borderId="0" xfId="0" applyNumberFormat="1" applyFont="1" applyFill="1" applyBorder="1" applyAlignment="1" applyProtection="1">
      <alignment horizontal="center" vertical="center"/>
      <protection locked="0"/>
    </xf>
    <xf numFmtId="0" fontId="5" fillId="33" borderId="17" xfId="0" applyFont="1" applyFill="1" applyBorder="1" applyAlignment="1">
      <alignment horizontal="center" vertical="center"/>
    </xf>
    <xf numFmtId="0" fontId="5" fillId="33" borderId="18"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2" fillId="0" borderId="26"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12" fillId="0" borderId="26" xfId="0" applyFont="1" applyFill="1" applyBorder="1" applyAlignment="1" applyProtection="1">
      <alignment/>
      <protection locked="0"/>
    </xf>
    <xf numFmtId="0" fontId="0" fillId="0" borderId="24" xfId="0" applyFont="1" applyFill="1" applyBorder="1" applyAlignment="1">
      <alignment/>
    </xf>
    <xf numFmtId="0" fontId="88" fillId="0" borderId="0" xfId="0" applyFont="1" applyFill="1" applyAlignment="1">
      <alignment/>
    </xf>
    <xf numFmtId="0" fontId="16" fillId="0" borderId="0" xfId="0" applyFont="1" applyFill="1" applyAlignment="1">
      <alignment/>
    </xf>
    <xf numFmtId="0" fontId="89" fillId="0" borderId="0" xfId="0" applyFont="1" applyFill="1" applyAlignment="1">
      <alignment/>
    </xf>
    <xf numFmtId="0" fontId="5" fillId="0" borderId="0" xfId="0" applyFont="1" applyFill="1" applyBorder="1" applyAlignment="1" applyProtection="1">
      <alignment/>
      <protection locked="0"/>
    </xf>
    <xf numFmtId="1" fontId="2" fillId="34" borderId="26" xfId="0" applyNumberFormat="1" applyFont="1" applyFill="1" applyBorder="1" applyAlignment="1" applyProtection="1">
      <alignment horizontal="center" vertical="center"/>
      <protection locked="0"/>
    </xf>
    <xf numFmtId="1" fontId="2" fillId="34" borderId="27" xfId="0" applyNumberFormat="1" applyFont="1" applyFill="1" applyBorder="1" applyAlignment="1" applyProtection="1">
      <alignment horizontal="center" vertical="center"/>
      <protection locked="0"/>
    </xf>
    <xf numFmtId="1" fontId="2" fillId="10" borderId="26" xfId="0" applyNumberFormat="1" applyFont="1" applyFill="1" applyBorder="1" applyAlignment="1" applyProtection="1">
      <alignment horizontal="center" vertical="center"/>
      <protection locked="0"/>
    </xf>
    <xf numFmtId="1" fontId="2" fillId="10" borderId="27" xfId="0" applyNumberFormat="1" applyFont="1" applyFill="1" applyBorder="1" applyAlignment="1" applyProtection="1">
      <alignment horizontal="center" vertical="center"/>
      <protection locked="0"/>
    </xf>
    <xf numFmtId="0" fontId="2" fillId="0" borderId="26" xfId="0" applyFont="1" applyFill="1" applyBorder="1" applyAlignment="1" applyProtection="1">
      <alignment/>
      <protection locked="0"/>
    </xf>
    <xf numFmtId="0" fontId="2" fillId="34" borderId="24" xfId="0" applyFont="1" applyFill="1" applyBorder="1" applyAlignment="1" applyProtection="1">
      <alignment horizontal="center"/>
      <protection locked="0"/>
    </xf>
    <xf numFmtId="2" fontId="2" fillId="34" borderId="25" xfId="0" applyNumberFormat="1" applyFont="1" applyFill="1" applyBorder="1" applyAlignment="1" applyProtection="1">
      <alignment horizontal="center"/>
      <protection locked="0"/>
    </xf>
    <xf numFmtId="0" fontId="8" fillId="34" borderId="24" xfId="0" applyFont="1" applyFill="1" applyBorder="1" applyAlignment="1">
      <alignment horizontal="center"/>
    </xf>
    <xf numFmtId="1" fontId="2" fillId="34" borderId="25" xfId="0" applyNumberFormat="1" applyFont="1" applyFill="1" applyBorder="1" applyAlignment="1" applyProtection="1">
      <alignment horizontal="center"/>
      <protection locked="0"/>
    </xf>
    <xf numFmtId="0" fontId="2" fillId="35" borderId="24" xfId="0" applyFont="1" applyFill="1" applyBorder="1" applyAlignment="1" applyProtection="1">
      <alignment horizontal="center"/>
      <protection locked="0"/>
    </xf>
    <xf numFmtId="2" fontId="2" fillId="10" borderId="24" xfId="0" applyNumberFormat="1" applyFont="1" applyFill="1" applyBorder="1" applyAlignment="1" applyProtection="1">
      <alignment horizontal="center"/>
      <protection locked="0"/>
    </xf>
    <xf numFmtId="0" fontId="8" fillId="10" borderId="26" xfId="0" applyFont="1" applyFill="1" applyBorder="1" applyAlignment="1">
      <alignment horizontal="center"/>
    </xf>
    <xf numFmtId="1" fontId="2" fillId="10" borderId="25" xfId="0" applyNumberFormat="1" applyFont="1" applyFill="1" applyBorder="1" applyAlignment="1" applyProtection="1">
      <alignment horizontal="center"/>
      <protection locked="0"/>
    </xf>
    <xf numFmtId="0" fontId="2" fillId="10" borderId="24" xfId="0" applyFont="1" applyFill="1" applyBorder="1" applyAlignment="1" applyProtection="1">
      <alignment horizontal="center"/>
      <protection locked="0"/>
    </xf>
    <xf numFmtId="2" fontId="12" fillId="34" borderId="25" xfId="0" applyNumberFormat="1" applyFont="1" applyFill="1" applyBorder="1" applyAlignment="1" applyProtection="1">
      <alignment horizontal="center"/>
      <protection locked="0"/>
    </xf>
    <xf numFmtId="0" fontId="9" fillId="34" borderId="24" xfId="0" applyFont="1" applyFill="1" applyBorder="1" applyAlignment="1">
      <alignment horizontal="center"/>
    </xf>
    <xf numFmtId="1" fontId="12" fillId="34" borderId="25" xfId="0" applyNumberFormat="1" applyFont="1" applyFill="1" applyBorder="1" applyAlignment="1" applyProtection="1">
      <alignment horizontal="center"/>
      <protection locked="0"/>
    </xf>
    <xf numFmtId="0" fontId="12" fillId="35" borderId="24" xfId="0" applyFont="1" applyFill="1" applyBorder="1" applyAlignment="1" applyProtection="1">
      <alignment horizontal="center"/>
      <protection locked="0"/>
    </xf>
    <xf numFmtId="2" fontId="12" fillId="10" borderId="24" xfId="0" applyNumberFormat="1" applyFont="1" applyFill="1" applyBorder="1" applyAlignment="1" applyProtection="1">
      <alignment horizontal="center"/>
      <protection locked="0"/>
    </xf>
    <xf numFmtId="0" fontId="9" fillId="10" borderId="26" xfId="0" applyFont="1" applyFill="1" applyBorder="1" applyAlignment="1">
      <alignment horizontal="center"/>
    </xf>
    <xf numFmtId="1" fontId="12" fillId="10" borderId="25" xfId="0" applyNumberFormat="1" applyFont="1" applyFill="1" applyBorder="1" applyAlignment="1" applyProtection="1">
      <alignment horizontal="center"/>
      <protection locked="0"/>
    </xf>
    <xf numFmtId="0" fontId="12" fillId="10" borderId="24" xfId="0" applyFont="1" applyFill="1" applyBorder="1" applyAlignment="1" applyProtection="1">
      <alignment horizontal="center"/>
      <protection locked="0"/>
    </xf>
    <xf numFmtId="0" fontId="12" fillId="34" borderId="27" xfId="0" applyFont="1" applyFill="1" applyBorder="1" applyAlignment="1" applyProtection="1">
      <alignment horizontal="center"/>
      <protection locked="0"/>
    </xf>
    <xf numFmtId="2" fontId="2" fillId="34" borderId="24" xfId="0" applyNumberFormat="1" applyFont="1" applyFill="1" applyBorder="1" applyAlignment="1" applyProtection="1">
      <alignment horizontal="center"/>
      <protection locked="0"/>
    </xf>
    <xf numFmtId="0" fontId="8" fillId="34" borderId="26" xfId="0" applyFont="1" applyFill="1" applyBorder="1" applyAlignment="1">
      <alignment horizontal="center"/>
    </xf>
    <xf numFmtId="1" fontId="2" fillId="34" borderId="24" xfId="0" applyNumberFormat="1" applyFont="1" applyFill="1" applyBorder="1" applyAlignment="1" applyProtection="1">
      <alignment horizontal="center"/>
      <protection locked="0"/>
    </xf>
    <xf numFmtId="0" fontId="2" fillId="34" borderId="27" xfId="0" applyFont="1" applyFill="1" applyBorder="1" applyAlignment="1" applyProtection="1">
      <alignment horizontal="center"/>
      <protection locked="0"/>
    </xf>
    <xf numFmtId="1" fontId="2" fillId="10" borderId="24" xfId="0" applyNumberFormat="1" applyFont="1" applyFill="1" applyBorder="1" applyAlignment="1" applyProtection="1">
      <alignment horizontal="center"/>
      <protection locked="0"/>
    </xf>
    <xf numFmtId="1" fontId="2" fillId="35" borderId="24" xfId="0" applyNumberFormat="1" applyFont="1" applyFill="1" applyBorder="1" applyAlignment="1" applyProtection="1">
      <alignment horizontal="center"/>
      <protection locked="0"/>
    </xf>
    <xf numFmtId="0" fontId="8" fillId="10" borderId="24" xfId="0" applyFont="1" applyFill="1" applyBorder="1" applyAlignment="1">
      <alignment horizontal="center"/>
    </xf>
    <xf numFmtId="2" fontId="5" fillId="34" borderId="18" xfId="0" applyNumberFormat="1" applyFont="1" applyFill="1" applyBorder="1" applyAlignment="1" applyProtection="1">
      <alignment horizontal="center" vertical="center"/>
      <protection locked="0"/>
    </xf>
    <xf numFmtId="2" fontId="10" fillId="0" borderId="28" xfId="0" applyNumberFormat="1" applyFont="1" applyFill="1" applyBorder="1" applyAlignment="1" applyProtection="1">
      <alignment horizontal="center"/>
      <protection locked="0"/>
    </xf>
    <xf numFmtId="1" fontId="10" fillId="0" borderId="28" xfId="0" applyNumberFormat="1" applyFont="1" applyFill="1" applyBorder="1" applyAlignment="1" applyProtection="1">
      <alignment horizontal="center"/>
      <protection locked="0"/>
    </xf>
    <xf numFmtId="1" fontId="10" fillId="0" borderId="28" xfId="0" applyNumberFormat="1" applyFont="1" applyFill="1" applyBorder="1" applyAlignment="1" applyProtection="1">
      <alignment horizontal="center" vertical="center"/>
      <protection locked="0"/>
    </xf>
    <xf numFmtId="166" fontId="10" fillId="0" borderId="28" xfId="0" applyNumberFormat="1" applyFont="1" applyFill="1" applyBorder="1" applyAlignment="1" applyProtection="1">
      <alignment horizontal="center"/>
      <protection locked="0"/>
    </xf>
    <xf numFmtId="167" fontId="10" fillId="0" borderId="28" xfId="0" applyNumberFormat="1" applyFont="1" applyFill="1" applyBorder="1" applyAlignment="1" applyProtection="1">
      <alignment horizontal="center"/>
      <protection locked="0"/>
    </xf>
    <xf numFmtId="166" fontId="10" fillId="0" borderId="28"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48" fillId="0" borderId="26" xfId="0" applyFont="1" applyFill="1" applyBorder="1" applyAlignment="1">
      <alignment horizontal="left"/>
    </xf>
    <xf numFmtId="0" fontId="43" fillId="0" borderId="10" xfId="0" applyFont="1" applyFill="1" applyBorder="1" applyAlignment="1">
      <alignment/>
    </xf>
    <xf numFmtId="0" fontId="43" fillId="0" borderId="0" xfId="0" applyFont="1" applyAlignment="1">
      <alignment/>
    </xf>
    <xf numFmtId="0" fontId="43" fillId="0" borderId="26" xfId="0" applyFont="1" applyFill="1" applyBorder="1" applyAlignment="1">
      <alignment/>
    </xf>
    <xf numFmtId="0" fontId="43" fillId="0" borderId="0" xfId="0" applyFont="1" applyFill="1" applyBorder="1" applyAlignment="1">
      <alignment horizontal="center"/>
    </xf>
    <xf numFmtId="0" fontId="2" fillId="0" borderId="0" xfId="0" applyFont="1" applyFill="1" applyBorder="1" applyAlignment="1" applyProtection="1">
      <alignment horizontal="center"/>
      <protection locked="0"/>
    </xf>
    <xf numFmtId="166" fontId="45" fillId="0" borderId="28" xfId="0" applyNumberFormat="1" applyFont="1" applyFill="1" applyBorder="1" applyAlignment="1">
      <alignment horizontal="center"/>
    </xf>
    <xf numFmtId="0" fontId="2" fillId="0" borderId="29" xfId="0" applyFont="1" applyFill="1" applyBorder="1" applyAlignment="1" applyProtection="1">
      <alignment horizontal="center"/>
      <protection locked="0"/>
    </xf>
    <xf numFmtId="0" fontId="49" fillId="36" borderId="10" xfId="0" applyFont="1" applyFill="1" applyBorder="1" applyAlignment="1">
      <alignment/>
    </xf>
    <xf numFmtId="0" fontId="43" fillId="0" borderId="24" xfId="0" applyFont="1" applyFill="1" applyBorder="1" applyAlignment="1">
      <alignment/>
    </xf>
    <xf numFmtId="0" fontId="45" fillId="0" borderId="24" xfId="0" applyFont="1" applyFill="1" applyBorder="1" applyAlignment="1">
      <alignment/>
    </xf>
    <xf numFmtId="0" fontId="5" fillId="33" borderId="0" xfId="0" applyFont="1" applyFill="1" applyBorder="1" applyAlignment="1" applyProtection="1">
      <alignment horizontal="center"/>
      <protection locked="0"/>
    </xf>
    <xf numFmtId="0" fontId="43" fillId="0" borderId="0" xfId="0" applyFont="1" applyFill="1" applyBorder="1" applyAlignment="1">
      <alignment/>
    </xf>
    <xf numFmtId="0" fontId="43" fillId="34" borderId="24" xfId="0" applyFont="1" applyFill="1" applyBorder="1" applyAlignment="1">
      <alignment horizontal="center"/>
    </xf>
    <xf numFmtId="0" fontId="43" fillId="10" borderId="24" xfId="0" applyFont="1" applyFill="1" applyBorder="1" applyAlignment="1">
      <alignment horizontal="center"/>
    </xf>
    <xf numFmtId="0" fontId="43" fillId="0" borderId="17" xfId="0" applyFont="1" applyFill="1" applyBorder="1" applyAlignment="1">
      <alignment/>
    </xf>
    <xf numFmtId="0" fontId="49" fillId="0" borderId="24" xfId="0" applyFont="1" applyFill="1" applyBorder="1" applyAlignment="1">
      <alignment/>
    </xf>
    <xf numFmtId="0" fontId="10" fillId="10" borderId="0" xfId="0" applyFont="1" applyFill="1" applyBorder="1" applyAlignment="1">
      <alignment horizontal="center"/>
    </xf>
    <xf numFmtId="0" fontId="10" fillId="10" borderId="0" xfId="0" applyFont="1" applyFill="1" applyBorder="1" applyAlignment="1" applyProtection="1">
      <alignment horizontal="center"/>
      <protection locked="0"/>
    </xf>
    <xf numFmtId="2" fontId="10" fillId="0" borderId="28" xfId="0" applyNumberFormat="1"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34" borderId="0" xfId="0" applyFont="1" applyFill="1" applyBorder="1" applyAlignment="1">
      <alignment horizontal="center"/>
    </xf>
    <xf numFmtId="1" fontId="10" fillId="34" borderId="0" xfId="0" applyNumberFormat="1" applyFont="1" applyFill="1" applyBorder="1" applyAlignment="1" applyProtection="1">
      <alignment horizontal="center"/>
      <protection locked="0"/>
    </xf>
    <xf numFmtId="0" fontId="10" fillId="0" borderId="28" xfId="0" applyFont="1" applyFill="1" applyBorder="1" applyAlignment="1">
      <alignment horizontal="center"/>
    </xf>
    <xf numFmtId="0" fontId="10" fillId="0" borderId="28" xfId="0" applyFont="1" applyFill="1" applyBorder="1" applyAlignment="1" applyProtection="1">
      <alignment horizontal="center"/>
      <protection locked="0"/>
    </xf>
    <xf numFmtId="1" fontId="10" fillId="34" borderId="18" xfId="0" applyNumberFormat="1" applyFont="1" applyFill="1" applyBorder="1" applyAlignment="1" applyProtection="1">
      <alignment horizontal="center"/>
      <protection locked="0"/>
    </xf>
    <xf numFmtId="0" fontId="45" fillId="0" borderId="28" xfId="0" applyFont="1" applyFill="1" applyBorder="1" applyAlignment="1">
      <alignment horizontal="center"/>
    </xf>
    <xf numFmtId="1" fontId="45" fillId="0" borderId="28" xfId="0" applyNumberFormat="1" applyFont="1" applyFill="1" applyBorder="1" applyAlignment="1">
      <alignment horizontal="center"/>
    </xf>
    <xf numFmtId="0" fontId="3" fillId="0" borderId="0" xfId="0" applyFont="1" applyFill="1" applyBorder="1" applyAlignment="1" applyProtection="1">
      <alignment horizontal="left"/>
      <protection/>
    </xf>
    <xf numFmtId="0" fontId="50" fillId="0" borderId="0" xfId="0" applyFont="1" applyFill="1" applyBorder="1" applyAlignment="1" quotePrefix="1">
      <alignment/>
    </xf>
    <xf numFmtId="0" fontId="5" fillId="0" borderId="17" xfId="0" applyFont="1" applyFill="1" applyBorder="1" applyAlignment="1" applyProtection="1">
      <alignment horizontal="left"/>
      <protection/>
    </xf>
    <xf numFmtId="0" fontId="50" fillId="0" borderId="29" xfId="0" applyFont="1" applyFill="1" applyBorder="1" applyAlignment="1" quotePrefix="1">
      <alignment/>
    </xf>
    <xf numFmtId="0" fontId="0" fillId="0" borderId="0" xfId="0" applyBorder="1" applyAlignment="1">
      <alignment/>
    </xf>
    <xf numFmtId="0" fontId="5" fillId="0" borderId="30" xfId="0" applyFont="1" applyFill="1" applyBorder="1" applyAlignment="1" applyProtection="1">
      <alignment horizontal="left"/>
      <protection/>
    </xf>
    <xf numFmtId="0" fontId="5" fillId="0" borderId="16" xfId="0" applyFont="1" applyFill="1" applyBorder="1" applyAlignment="1" applyProtection="1">
      <alignment horizontal="left"/>
      <protection/>
    </xf>
    <xf numFmtId="0" fontId="5" fillId="0" borderId="16" xfId="0" applyFont="1" applyFill="1" applyBorder="1" applyAlignment="1">
      <alignment horizontal="left"/>
    </xf>
    <xf numFmtId="0" fontId="87" fillId="0" borderId="0" xfId="0" applyFont="1" applyBorder="1" applyAlignment="1">
      <alignment horizontal="center"/>
    </xf>
    <xf numFmtId="0" fontId="76" fillId="0" borderId="0" xfId="0" applyFont="1" applyBorder="1" applyAlignment="1">
      <alignment horizontal="center"/>
    </xf>
    <xf numFmtId="0" fontId="85" fillId="0" borderId="0" xfId="0" applyFont="1" applyBorder="1" applyAlignment="1">
      <alignment horizontal="center"/>
    </xf>
    <xf numFmtId="0" fontId="85" fillId="0" borderId="0" xfId="0" applyFont="1" applyBorder="1" applyAlignment="1">
      <alignment/>
    </xf>
    <xf numFmtId="166" fontId="9" fillId="33" borderId="24" xfId="0" applyNumberFormat="1" applyFont="1" applyFill="1" applyBorder="1" applyAlignment="1" applyProtection="1">
      <alignment horizontal="center" vertical="center"/>
      <protection locked="0"/>
    </xf>
    <xf numFmtId="1" fontId="9" fillId="33" borderId="24" xfId="0" applyNumberFormat="1" applyFont="1" applyFill="1" applyBorder="1" applyAlignment="1" applyProtection="1">
      <alignment horizontal="center" vertical="center"/>
      <protection locked="0"/>
    </xf>
    <xf numFmtId="1" fontId="12" fillId="0" borderId="31" xfId="0" applyNumberFormat="1" applyFont="1" applyFill="1" applyBorder="1" applyAlignment="1" applyProtection="1">
      <alignment horizontal="center" vertical="center"/>
      <protection locked="0"/>
    </xf>
    <xf numFmtId="0" fontId="2" fillId="34" borderId="24" xfId="0" applyFont="1" applyFill="1" applyBorder="1" applyAlignment="1">
      <alignment horizontal="center" vertical="center"/>
    </xf>
    <xf numFmtId="1" fontId="2" fillId="34" borderId="24" xfId="0" applyNumberFormat="1" applyFont="1" applyFill="1" applyBorder="1" applyAlignment="1" applyProtection="1">
      <alignment horizontal="center" vertical="center"/>
      <protection locked="0"/>
    </xf>
    <xf numFmtId="1" fontId="2" fillId="33" borderId="24" xfId="0" applyNumberFormat="1" applyFont="1" applyFill="1" applyBorder="1" applyAlignment="1" applyProtection="1">
      <alignment horizontal="center" vertical="center"/>
      <protection locked="0"/>
    </xf>
    <xf numFmtId="0" fontId="2" fillId="10" borderId="24" xfId="0" applyFont="1" applyFill="1" applyBorder="1" applyAlignment="1">
      <alignment horizontal="center" vertical="center"/>
    </xf>
    <xf numFmtId="1" fontId="2" fillId="10" borderId="24" xfId="0" applyNumberFormat="1" applyFont="1" applyFill="1" applyBorder="1" applyAlignment="1" applyProtection="1">
      <alignment horizontal="center" vertical="center"/>
      <protection locked="0"/>
    </xf>
    <xf numFmtId="0" fontId="5" fillId="6" borderId="0" xfId="0" applyFont="1" applyFill="1" applyBorder="1" applyAlignment="1">
      <alignment horizontal="center" vertical="center"/>
    </xf>
    <xf numFmtId="1" fontId="12" fillId="6" borderId="31" xfId="0" applyNumberFormat="1" applyFont="1" applyFill="1" applyBorder="1" applyAlignment="1" applyProtection="1">
      <alignment horizontal="center" vertical="center"/>
      <protection locked="0"/>
    </xf>
    <xf numFmtId="1" fontId="5" fillId="6" borderId="19"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5" fillId="6" borderId="0" xfId="0" applyFont="1" applyFill="1" applyBorder="1" applyAlignment="1" applyProtection="1">
      <alignment horizontal="center" vertical="center"/>
      <protection locked="0"/>
    </xf>
    <xf numFmtId="1" fontId="5" fillId="6" borderId="0" xfId="0" applyNumberFormat="1" applyFont="1" applyFill="1" applyBorder="1" applyAlignment="1">
      <alignment horizontal="center" vertical="center"/>
    </xf>
    <xf numFmtId="0" fontId="5" fillId="6" borderId="24" xfId="0" applyFont="1" applyFill="1" applyBorder="1" applyAlignment="1" applyProtection="1">
      <alignment horizontal="center" vertical="center"/>
      <protection locked="0"/>
    </xf>
    <xf numFmtId="1" fontId="12" fillId="6" borderId="19" xfId="0" applyNumberFormat="1" applyFont="1" applyFill="1" applyBorder="1" applyAlignment="1" applyProtection="1">
      <alignment horizontal="center" vertical="center"/>
      <protection locked="0"/>
    </xf>
    <xf numFmtId="1" fontId="5" fillId="6" borderId="13" xfId="0" applyNumberFormat="1" applyFont="1" applyFill="1" applyBorder="1" applyAlignment="1">
      <alignment horizontal="center" vertical="center"/>
    </xf>
    <xf numFmtId="1" fontId="5" fillId="6" borderId="32" xfId="0" applyNumberFormat="1" applyFont="1" applyFill="1" applyBorder="1" applyAlignment="1" applyProtection="1">
      <alignment horizontal="center" vertical="center"/>
      <protection locked="0"/>
    </xf>
    <xf numFmtId="1" fontId="12" fillId="6" borderId="19"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1" fontId="5" fillId="6" borderId="19" xfId="0" applyNumberFormat="1" applyFont="1" applyFill="1" applyBorder="1" applyAlignment="1" applyProtection="1">
      <alignment horizontal="center"/>
      <protection locked="0"/>
    </xf>
    <xf numFmtId="1" fontId="5" fillId="6" borderId="0" xfId="0" applyNumberFormat="1" applyFont="1" applyFill="1" applyBorder="1" applyAlignment="1">
      <alignment horizontal="center"/>
    </xf>
    <xf numFmtId="1" fontId="5" fillId="6" borderId="13" xfId="0" applyNumberFormat="1" applyFont="1" applyFill="1" applyBorder="1" applyAlignment="1">
      <alignment horizontal="center"/>
    </xf>
    <xf numFmtId="1" fontId="5" fillId="6" borderId="32" xfId="0" applyNumberFormat="1" applyFont="1" applyFill="1" applyBorder="1" applyAlignment="1" applyProtection="1">
      <alignment horizontal="center"/>
      <protection locked="0"/>
    </xf>
    <xf numFmtId="0" fontId="12" fillId="6" borderId="29" xfId="0" applyFont="1" applyFill="1" applyBorder="1" applyAlignment="1" applyProtection="1">
      <alignment horizontal="center" vertical="center"/>
      <protection locked="0"/>
    </xf>
    <xf numFmtId="1" fontId="12" fillId="6" borderId="33" xfId="0" applyNumberFormat="1" applyFont="1" applyFill="1" applyBorder="1" applyAlignment="1" applyProtection="1">
      <alignment horizontal="center" vertical="center"/>
      <protection locked="0"/>
    </xf>
    <xf numFmtId="2" fontId="5" fillId="6" borderId="0" xfId="0" applyNumberFormat="1" applyFont="1" applyFill="1" applyBorder="1" applyAlignment="1" applyProtection="1">
      <alignment horizontal="center" vertical="center"/>
      <protection locked="0"/>
    </xf>
    <xf numFmtId="1" fontId="5"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90" fillId="6" borderId="0" xfId="0" applyFont="1" applyFill="1" applyBorder="1" applyAlignment="1" applyProtection="1">
      <alignment horizontal="center"/>
      <protection locked="0"/>
    </xf>
    <xf numFmtId="167" fontId="5" fillId="6" borderId="0" xfId="0" applyNumberFormat="1" applyFont="1" applyFill="1" applyBorder="1" applyAlignment="1">
      <alignment horizontal="center"/>
    </xf>
    <xf numFmtId="0" fontId="12" fillId="6" borderId="29" xfId="0" applyFont="1" applyFill="1" applyBorder="1" applyAlignment="1" applyProtection="1">
      <alignment horizontal="center"/>
      <protection locked="0"/>
    </xf>
    <xf numFmtId="1" fontId="12" fillId="6" borderId="33" xfId="0" applyNumberFormat="1" applyFont="1" applyFill="1" applyBorder="1" applyAlignment="1" applyProtection="1">
      <alignment horizontal="center"/>
      <protection locked="0"/>
    </xf>
    <xf numFmtId="166" fontId="9" fillId="33" borderId="24" xfId="0" applyNumberFormat="1" applyFont="1" applyFill="1" applyBorder="1" applyAlignment="1" applyProtection="1">
      <alignment horizontal="center"/>
      <protection locked="0"/>
    </xf>
    <xf numFmtId="0" fontId="9" fillId="33" borderId="24" xfId="0" applyFont="1" applyFill="1" applyBorder="1" applyAlignment="1">
      <alignment horizontal="center" vertical="center"/>
    </xf>
    <xf numFmtId="1" fontId="5" fillId="33" borderId="24"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1" fontId="12" fillId="6" borderId="0" xfId="0" applyNumberFormat="1" applyFont="1" applyFill="1" applyBorder="1" applyAlignment="1" applyProtection="1">
      <alignment horizontal="center" vertical="center"/>
      <protection locked="0"/>
    </xf>
    <xf numFmtId="0" fontId="8" fillId="0" borderId="30" xfId="0" applyFont="1" applyFill="1" applyBorder="1" applyAlignment="1" applyProtection="1">
      <alignment horizontal="left"/>
      <protection/>
    </xf>
    <xf numFmtId="0" fontId="8" fillId="0" borderId="34" xfId="0" applyFont="1" applyFill="1" applyBorder="1" applyAlignment="1" applyProtection="1">
      <alignment horizontal="left"/>
      <protection/>
    </xf>
    <xf numFmtId="0" fontId="8" fillId="0" borderId="34" xfId="0" applyFont="1" applyFill="1" applyBorder="1" applyAlignment="1" applyProtection="1">
      <alignment horizontal="center"/>
      <protection/>
    </xf>
    <xf numFmtId="0" fontId="8" fillId="0" borderId="34" xfId="0" applyFont="1" applyFill="1" applyBorder="1" applyAlignment="1" applyProtection="1">
      <alignment horizontal="center"/>
      <protection locked="0"/>
    </xf>
    <xf numFmtId="0" fontId="8" fillId="0" borderId="35" xfId="0" applyFont="1" applyFill="1" applyBorder="1" applyAlignment="1">
      <alignment horizontal="center"/>
    </xf>
    <xf numFmtId="1" fontId="8" fillId="0" borderId="34" xfId="0" applyNumberFormat="1" applyFont="1" applyFill="1" applyBorder="1" applyAlignment="1" applyProtection="1">
      <alignment horizontal="center"/>
      <protection/>
    </xf>
    <xf numFmtId="1" fontId="8" fillId="0" borderId="34" xfId="0" applyNumberFormat="1" applyFont="1" applyFill="1" applyBorder="1" applyAlignment="1" applyProtection="1">
      <alignment horizontal="center"/>
      <protection locked="0"/>
    </xf>
    <xf numFmtId="1" fontId="2" fillId="0" borderId="35" xfId="0" applyNumberFormat="1" applyFont="1" applyFill="1" applyBorder="1" applyAlignment="1" applyProtection="1">
      <alignment horizontal="center"/>
      <protection locked="0"/>
    </xf>
    <xf numFmtId="164" fontId="8" fillId="0" borderId="35" xfId="0" applyNumberFormat="1" applyFont="1" applyFill="1" applyBorder="1" applyAlignment="1">
      <alignment horizontal="center"/>
    </xf>
    <xf numFmtId="0" fontId="8" fillId="0" borderId="0" xfId="0" applyFont="1" applyFill="1" applyBorder="1" applyAlignment="1" applyProtection="1">
      <alignment horizontal="left"/>
      <protection locked="0"/>
    </xf>
    <xf numFmtId="1" fontId="2" fillId="0" borderId="18" xfId="0" applyNumberFormat="1" applyFont="1" applyFill="1" applyBorder="1" applyAlignment="1" applyProtection="1">
      <alignment horizontal="center"/>
      <protection locked="0"/>
    </xf>
    <xf numFmtId="164" fontId="8" fillId="0" borderId="18"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0" fontId="5" fillId="0" borderId="28" xfId="0" applyFont="1" applyFill="1" applyBorder="1" applyAlignment="1" applyProtection="1">
      <alignment horizontal="left"/>
      <protection locked="0"/>
    </xf>
    <xf numFmtId="1" fontId="8" fillId="0" borderId="13" xfId="0" applyNumberFormat="1" applyFont="1" applyFill="1" applyBorder="1" applyAlignment="1" applyProtection="1">
      <alignment horizontal="center"/>
      <protection/>
    </xf>
    <xf numFmtId="0" fontId="8" fillId="0" borderId="13" xfId="0" applyFont="1" applyFill="1" applyBorder="1" applyAlignment="1" applyProtection="1">
      <alignment horizontal="center"/>
      <protection locked="0"/>
    </xf>
    <xf numFmtId="1" fontId="8" fillId="0" borderId="13" xfId="0" applyNumberFormat="1" applyFont="1" applyFill="1" applyBorder="1" applyAlignment="1" applyProtection="1">
      <alignment horizontal="center"/>
      <protection locked="0"/>
    </xf>
    <xf numFmtId="1" fontId="2" fillId="0" borderId="22" xfId="0" applyNumberFormat="1" applyFont="1" applyFill="1" applyBorder="1" applyAlignment="1" applyProtection="1">
      <alignment horizontal="center"/>
      <protection locked="0"/>
    </xf>
    <xf numFmtId="164" fontId="8" fillId="0" borderId="22" xfId="0" applyNumberFormat="1" applyFont="1" applyFill="1" applyBorder="1" applyAlignment="1">
      <alignment horizontal="center"/>
    </xf>
    <xf numFmtId="0" fontId="5" fillId="0" borderId="36" xfId="0" applyFont="1" applyFill="1" applyBorder="1" applyAlignment="1" applyProtection="1">
      <alignment horizontal="left"/>
      <protection/>
    </xf>
    <xf numFmtId="0" fontId="2" fillId="0" borderId="37" xfId="0" applyFont="1" applyFill="1" applyBorder="1" applyAlignment="1" applyProtection="1">
      <alignment horizontal="center"/>
      <protection/>
    </xf>
    <xf numFmtId="164" fontId="2" fillId="0" borderId="22" xfId="0" applyNumberFormat="1" applyFont="1" applyFill="1" applyBorder="1" applyAlignment="1">
      <alignment horizontal="center"/>
    </xf>
    <xf numFmtId="0" fontId="2" fillId="6" borderId="28" xfId="0" applyFont="1" applyFill="1" applyBorder="1" applyAlignment="1" applyProtection="1">
      <alignment horizontal="center"/>
      <protection locked="0"/>
    </xf>
    <xf numFmtId="166" fontId="2" fillId="6" borderId="28" xfId="0" applyNumberFormat="1" applyFont="1" applyFill="1" applyBorder="1" applyAlignment="1" applyProtection="1">
      <alignment horizontal="center"/>
      <protection locked="0"/>
    </xf>
    <xf numFmtId="0" fontId="2" fillId="6" borderId="28" xfId="0" applyFont="1" applyFill="1" applyBorder="1" applyAlignment="1">
      <alignment horizontal="center"/>
    </xf>
    <xf numFmtId="0" fontId="18" fillId="0" borderId="0" xfId="0" applyFont="1" applyBorder="1" applyAlignment="1" applyProtection="1">
      <alignment/>
      <protection/>
    </xf>
    <xf numFmtId="0" fontId="5" fillId="0" borderId="12" xfId="0" applyFont="1" applyFill="1" applyBorder="1" applyAlignment="1" applyProtection="1">
      <alignment/>
      <protection/>
    </xf>
    <xf numFmtId="0" fontId="5" fillId="0" borderId="17" xfId="0" applyFont="1" applyFill="1" applyBorder="1" applyAlignment="1" applyProtection="1">
      <alignment/>
      <protection/>
    </xf>
    <xf numFmtId="0" fontId="8" fillId="0" borderId="0" xfId="0" applyFont="1" applyFill="1" applyBorder="1" applyAlignment="1" applyProtection="1">
      <alignment horizontal="center"/>
      <protection locked="0"/>
    </xf>
    <xf numFmtId="164" fontId="8" fillId="0" borderId="19" xfId="0" applyNumberFormat="1" applyFont="1" applyFill="1" applyBorder="1" applyAlignment="1">
      <alignment horizontal="center"/>
    </xf>
    <xf numFmtId="0" fontId="5" fillId="0" borderId="38" xfId="0" applyFont="1" applyFill="1" applyBorder="1" applyAlignment="1" applyProtection="1">
      <alignment horizontal="left"/>
      <protection locked="0"/>
    </xf>
    <xf numFmtId="0" fontId="8" fillId="0" borderId="29" xfId="0" applyFont="1" applyFill="1" applyBorder="1" applyAlignment="1" applyProtection="1">
      <alignment horizontal="left"/>
      <protection locked="0"/>
    </xf>
    <xf numFmtId="1" fontId="8" fillId="0" borderId="29" xfId="0" applyNumberFormat="1" applyFont="1" applyFill="1" applyBorder="1" applyAlignment="1" applyProtection="1">
      <alignment horizontal="center"/>
      <protection/>
    </xf>
    <xf numFmtId="0" fontId="8" fillId="0" borderId="29" xfId="0" applyFont="1" applyFill="1" applyBorder="1" applyAlignment="1" applyProtection="1">
      <alignment horizontal="center"/>
      <protection locked="0"/>
    </xf>
    <xf numFmtId="164" fontId="8" fillId="0" borderId="15" xfId="0" applyNumberFormat="1" applyFont="1" applyFill="1" applyBorder="1" applyAlignment="1">
      <alignment horizontal="center"/>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7" xfId="0" applyFill="1" applyBorder="1" applyAlignment="1">
      <alignment horizontal="left"/>
    </xf>
    <xf numFmtId="1" fontId="3" fillId="0" borderId="0" xfId="0" applyNumberFormat="1" applyFont="1" applyFill="1" applyBorder="1" applyAlignment="1" applyProtection="1">
      <alignment horizontal="center"/>
      <protection locked="0"/>
    </xf>
    <xf numFmtId="164" fontId="5" fillId="0" borderId="19" xfId="0" applyNumberFormat="1" applyFont="1" applyFill="1" applyBorder="1" applyAlignment="1">
      <alignment horizontal="center"/>
    </xf>
    <xf numFmtId="0" fontId="11" fillId="0" borderId="17" xfId="0" applyFont="1" applyFill="1" applyBorder="1" applyAlignment="1" applyProtection="1">
      <alignment horizontal="left"/>
      <protection/>
    </xf>
    <xf numFmtId="0" fontId="4" fillId="0" borderId="23" xfId="0" applyFont="1" applyFill="1" applyBorder="1" applyAlignment="1" applyProtection="1">
      <alignment horizontal="left"/>
      <protection locked="0"/>
    </xf>
    <xf numFmtId="0" fontId="5" fillId="0" borderId="29" xfId="0" applyFont="1" applyFill="1" applyBorder="1" applyAlignment="1" applyProtection="1">
      <alignment horizontal="center"/>
      <protection/>
    </xf>
    <xf numFmtId="1" fontId="2" fillId="0" borderId="19" xfId="0" applyNumberFormat="1" applyFont="1" applyFill="1" applyBorder="1" applyAlignment="1" applyProtection="1">
      <alignment horizontal="center"/>
      <protection locked="0"/>
    </xf>
    <xf numFmtId="1" fontId="2" fillId="0" borderId="33" xfId="0" applyNumberFormat="1" applyFont="1" applyFill="1" applyBorder="1" applyAlignment="1" applyProtection="1">
      <alignment horizontal="center"/>
      <protection locked="0"/>
    </xf>
    <xf numFmtId="1" fontId="2" fillId="0" borderId="2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2" fillId="0" borderId="34"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protection locked="0"/>
    </xf>
    <xf numFmtId="0" fontId="5" fillId="0" borderId="16" xfId="0" applyFont="1" applyFill="1" applyBorder="1" applyAlignment="1" applyProtection="1">
      <alignment/>
      <protection/>
    </xf>
    <xf numFmtId="0" fontId="8" fillId="0" borderId="10" xfId="0" applyFont="1" applyFill="1" applyBorder="1" applyAlignment="1" applyProtection="1">
      <alignment/>
      <protection locked="0"/>
    </xf>
    <xf numFmtId="0" fontId="8" fillId="0" borderId="0" xfId="0" applyFont="1" applyFill="1" applyBorder="1" applyAlignment="1" applyProtection="1">
      <alignment/>
      <protection locked="0"/>
    </xf>
    <xf numFmtId="164" fontId="8" fillId="0" borderId="14" xfId="0" applyNumberFormat="1" applyFont="1" applyFill="1" applyBorder="1" applyAlignment="1">
      <alignment horizontal="center"/>
    </xf>
    <xf numFmtId="0" fontId="0" fillId="0" borderId="0" xfId="0" applyFill="1" applyAlignment="1" applyProtection="1">
      <alignment/>
      <protection locked="0"/>
    </xf>
    <xf numFmtId="166" fontId="2" fillId="0" borderId="10" xfId="0" applyNumberFormat="1" applyFont="1" applyFill="1" applyBorder="1" applyAlignment="1" applyProtection="1">
      <alignment horizontal="center"/>
      <protection locked="0"/>
    </xf>
    <xf numFmtId="166" fontId="2" fillId="0" borderId="29" xfId="0" applyNumberFormat="1" applyFont="1" applyFill="1" applyBorder="1" applyAlignment="1" applyProtection="1">
      <alignment horizontal="center"/>
      <protection locked="0"/>
    </xf>
    <xf numFmtId="0" fontId="2" fillId="10" borderId="40" xfId="0" applyFont="1" applyFill="1" applyBorder="1" applyAlignment="1" applyProtection="1">
      <alignment horizontal="center"/>
      <protection locked="0"/>
    </xf>
    <xf numFmtId="0" fontId="2" fillId="10" borderId="28" xfId="0" applyFont="1" applyFill="1" applyBorder="1" applyAlignment="1" applyProtection="1">
      <alignment horizontal="center"/>
      <protection locked="0"/>
    </xf>
    <xf numFmtId="0" fontId="2" fillId="10" borderId="41" xfId="0" applyFont="1" applyFill="1" applyBorder="1" applyAlignment="1" applyProtection="1">
      <alignment horizontal="center"/>
      <protection locked="0"/>
    </xf>
    <xf numFmtId="1" fontId="8" fillId="0" borderId="29"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10" fillId="0" borderId="0" xfId="0" applyFont="1" applyFill="1" applyBorder="1" applyAlignment="1" applyProtection="1">
      <alignment/>
      <protection/>
    </xf>
    <xf numFmtId="166" fontId="2" fillId="10" borderId="41" xfId="0" applyNumberFormat="1" applyFont="1" applyFill="1" applyBorder="1" applyAlignment="1" applyProtection="1">
      <alignment horizontal="center"/>
      <protection locked="0"/>
    </xf>
    <xf numFmtId="166" fontId="2" fillId="10" borderId="28" xfId="0" applyNumberFormat="1" applyFont="1" applyFill="1" applyBorder="1" applyAlignment="1" applyProtection="1">
      <alignment horizontal="center"/>
      <protection locked="0"/>
    </xf>
    <xf numFmtId="164" fontId="8" fillId="0" borderId="33" xfId="0" applyNumberFormat="1" applyFont="1" applyFill="1" applyBorder="1" applyAlignment="1">
      <alignment horizontal="center"/>
    </xf>
    <xf numFmtId="166" fontId="2" fillId="10" borderId="40" xfId="0" applyNumberFormat="1" applyFont="1" applyFill="1" applyBorder="1" applyAlignment="1" applyProtection="1">
      <alignment horizontal="center"/>
      <protection locked="0"/>
    </xf>
    <xf numFmtId="0" fontId="43" fillId="34" borderId="34" xfId="0" applyFont="1" applyFill="1" applyBorder="1" applyAlignment="1">
      <alignment/>
    </xf>
    <xf numFmtId="0" fontId="5" fillId="34" borderId="34" xfId="0" applyFont="1" applyFill="1" applyBorder="1" applyAlignment="1" applyProtection="1">
      <alignment horizontal="center" vertical="center"/>
      <protection locked="0"/>
    </xf>
    <xf numFmtId="0" fontId="43" fillId="34" borderId="0" xfId="0" applyFont="1" applyFill="1" applyBorder="1" applyAlignment="1">
      <alignment/>
    </xf>
    <xf numFmtId="0" fontId="43" fillId="34" borderId="0" xfId="0" applyFont="1" applyFill="1" applyBorder="1" applyAlignment="1">
      <alignment horizontal="center"/>
    </xf>
    <xf numFmtId="0" fontId="52" fillId="34" borderId="0" xfId="0" applyFont="1" applyFill="1" applyBorder="1" applyAlignment="1">
      <alignment/>
    </xf>
    <xf numFmtId="0" fontId="76" fillId="35" borderId="0" xfId="0" applyFont="1" applyFill="1" applyAlignment="1">
      <alignment/>
    </xf>
    <xf numFmtId="0" fontId="5" fillId="33" borderId="0" xfId="0" applyFont="1" applyFill="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2" fillId="35" borderId="24"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1" fontId="12" fillId="35" borderId="24" xfId="0" applyNumberFormat="1" applyFont="1" applyFill="1" applyBorder="1" applyAlignment="1" applyProtection="1">
      <alignment horizontal="center"/>
      <protection locked="0"/>
    </xf>
    <xf numFmtId="1" fontId="5" fillId="0" borderId="13" xfId="0" applyNumberFormat="1" applyFont="1" applyBorder="1" applyAlignment="1" applyProtection="1">
      <alignment horizontal="center"/>
      <protection locked="0"/>
    </xf>
    <xf numFmtId="0" fontId="5" fillId="0" borderId="42" xfId="0" applyFont="1" applyFill="1" applyBorder="1" applyAlignment="1" applyProtection="1">
      <alignment horizontal="center" vertical="center"/>
      <protection locked="0"/>
    </xf>
    <xf numFmtId="0" fontId="91" fillId="0" borderId="42" xfId="0" applyFont="1" applyFill="1" applyBorder="1" applyAlignment="1" applyProtection="1">
      <alignment horizontal="center" vertical="center"/>
      <protection locked="0"/>
    </xf>
    <xf numFmtId="0" fontId="5" fillId="0" borderId="42" xfId="0" applyFont="1" applyFill="1" applyBorder="1" applyAlignment="1">
      <alignment horizontal="center"/>
    </xf>
    <xf numFmtId="0" fontId="5" fillId="0" borderId="42" xfId="0" applyFont="1" applyFill="1" applyBorder="1" applyAlignment="1" applyProtection="1">
      <alignment horizontal="center"/>
      <protection locked="0"/>
    </xf>
    <xf numFmtId="1" fontId="5" fillId="0" borderId="42" xfId="0" applyNumberFormat="1" applyFont="1" applyFill="1" applyBorder="1" applyAlignment="1" applyProtection="1">
      <alignment horizontal="center"/>
      <protection locked="0"/>
    </xf>
    <xf numFmtId="1" fontId="5" fillId="0" borderId="42" xfId="0" applyNumberFormat="1" applyFont="1" applyFill="1" applyBorder="1" applyAlignment="1" applyProtection="1">
      <alignment horizontal="center" vertical="center"/>
      <protection locked="0"/>
    </xf>
    <xf numFmtId="167" fontId="5" fillId="6" borderId="0" xfId="0" applyNumberFormat="1" applyFont="1" applyFill="1" applyBorder="1" applyAlignment="1" applyProtection="1">
      <alignment horizontal="center" vertical="center"/>
      <protection locked="0"/>
    </xf>
    <xf numFmtId="0" fontId="43" fillId="33" borderId="16" xfId="0" applyFont="1" applyFill="1" applyBorder="1" applyAlignment="1">
      <alignment/>
    </xf>
    <xf numFmtId="0" fontId="43" fillId="10" borderId="27" xfId="0" applyFont="1" applyFill="1" applyBorder="1" applyAlignment="1">
      <alignment/>
    </xf>
    <xf numFmtId="0" fontId="43" fillId="10" borderId="16" xfId="0" applyFont="1" applyFill="1" applyBorder="1" applyAlignment="1">
      <alignment/>
    </xf>
    <xf numFmtId="0" fontId="45" fillId="10" borderId="27" xfId="0" applyFont="1" applyFill="1" applyBorder="1" applyAlignment="1">
      <alignment/>
    </xf>
    <xf numFmtId="0" fontId="43" fillId="33" borderId="27" xfId="0" applyFont="1" applyFill="1" applyBorder="1" applyAlignment="1">
      <alignment/>
    </xf>
    <xf numFmtId="1" fontId="9" fillId="0" borderId="25" xfId="0" applyNumberFormat="1" applyFont="1" applyFill="1" applyBorder="1" applyAlignment="1" applyProtection="1">
      <alignment horizontal="center" vertical="center"/>
      <protection locked="0"/>
    </xf>
    <xf numFmtId="1" fontId="43" fillId="10" borderId="16" xfId="0" applyNumberFormat="1" applyFont="1" applyFill="1" applyBorder="1" applyAlignment="1">
      <alignment/>
    </xf>
    <xf numFmtId="0" fontId="43" fillId="0" borderId="16" xfId="0" applyFont="1" applyFill="1" applyBorder="1" applyAlignment="1">
      <alignment/>
    </xf>
    <xf numFmtId="0" fontId="43" fillId="10" borderId="0" xfId="0" applyFont="1" applyFill="1" applyBorder="1" applyAlignment="1">
      <alignment horizontal="center"/>
    </xf>
    <xf numFmtId="0" fontId="43" fillId="10" borderId="16" xfId="0" applyFont="1" applyFill="1" applyBorder="1" applyAlignment="1">
      <alignment horizontal="center"/>
    </xf>
    <xf numFmtId="0" fontId="43" fillId="0" borderId="18" xfId="0" applyFont="1" applyFill="1" applyBorder="1" applyAlignment="1">
      <alignment/>
    </xf>
    <xf numFmtId="0" fontId="49" fillId="10" borderId="16" xfId="0" applyFont="1" applyFill="1" applyBorder="1" applyAlignment="1">
      <alignment/>
    </xf>
    <xf numFmtId="0" fontId="43" fillId="10" borderId="27" xfId="0" applyFont="1" applyFill="1" applyBorder="1" applyAlignment="1">
      <alignment horizontal="center"/>
    </xf>
    <xf numFmtId="0" fontId="43" fillId="0" borderId="16" xfId="0" applyFont="1" applyFill="1" applyBorder="1" applyAlignment="1">
      <alignment horizontal="center"/>
    </xf>
    <xf numFmtId="0" fontId="49" fillId="10" borderId="27" xfId="0" applyFont="1" applyFill="1" applyBorder="1" applyAlignment="1">
      <alignment horizontal="center"/>
    </xf>
    <xf numFmtId="0" fontId="48" fillId="10" borderId="16" xfId="0" applyFont="1" applyFill="1" applyBorder="1" applyAlignment="1">
      <alignment horizontal="right"/>
    </xf>
    <xf numFmtId="0" fontId="5" fillId="10" borderId="16" xfId="0" applyFont="1" applyFill="1" applyBorder="1" applyAlignment="1" applyProtection="1">
      <alignment/>
      <protection locked="0"/>
    </xf>
    <xf numFmtId="0" fontId="8" fillId="10" borderId="27" xfId="0" applyFont="1" applyFill="1" applyBorder="1" applyAlignment="1">
      <alignment horizontal="center"/>
    </xf>
    <xf numFmtId="0" fontId="0" fillId="10" borderId="16" xfId="0" applyFill="1" applyBorder="1" applyAlignment="1">
      <alignment/>
    </xf>
    <xf numFmtId="0" fontId="5" fillId="33" borderId="16" xfId="0" applyFont="1" applyFill="1" applyBorder="1" applyAlignment="1" applyProtection="1">
      <alignment horizontal="center" vertical="center"/>
      <protection locked="0"/>
    </xf>
    <xf numFmtId="0" fontId="5" fillId="34" borderId="16" xfId="0" applyFont="1" applyFill="1" applyBorder="1" applyAlignment="1">
      <alignment horizontal="center" vertical="center"/>
    </xf>
    <xf numFmtId="0" fontId="5" fillId="34" borderId="16" xfId="0" applyFont="1" applyFill="1" applyBorder="1" applyAlignment="1" applyProtection="1">
      <alignment horizontal="center" vertical="center"/>
      <protection locked="0"/>
    </xf>
    <xf numFmtId="0" fontId="45" fillId="34" borderId="27" xfId="0" applyFont="1" applyFill="1" applyBorder="1" applyAlignment="1">
      <alignment/>
    </xf>
    <xf numFmtId="0" fontId="9" fillId="33" borderId="27" xfId="0" applyFont="1" applyFill="1" applyBorder="1" applyAlignment="1" applyProtection="1">
      <alignment horizontal="center"/>
      <protection locked="0"/>
    </xf>
    <xf numFmtId="0" fontId="5" fillId="34" borderId="16" xfId="0" applyFont="1" applyFill="1" applyBorder="1" applyAlignment="1">
      <alignment horizontal="center"/>
    </xf>
    <xf numFmtId="0" fontId="5" fillId="34" borderId="16" xfId="0" applyFont="1" applyFill="1" applyBorder="1" applyAlignment="1" applyProtection="1">
      <alignment horizontal="center"/>
      <protection locked="0"/>
    </xf>
    <xf numFmtId="0" fontId="5" fillId="34" borderId="36" xfId="0" applyFont="1" applyFill="1" applyBorder="1" applyAlignment="1" applyProtection="1">
      <alignment horizontal="center"/>
      <protection locked="0"/>
    </xf>
    <xf numFmtId="0" fontId="2" fillId="34" borderId="27" xfId="0" applyFont="1" applyFill="1" applyBorder="1" applyAlignment="1" applyProtection="1">
      <alignment vertical="center"/>
      <protection locked="0"/>
    </xf>
    <xf numFmtId="0" fontId="2" fillId="34" borderId="2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43" fillId="34" borderId="16" xfId="0" applyFont="1" applyFill="1" applyBorder="1" applyAlignment="1">
      <alignment/>
    </xf>
    <xf numFmtId="0" fontId="8" fillId="0" borderId="10" xfId="0" applyFont="1" applyFill="1" applyBorder="1" applyAlignment="1">
      <alignment/>
    </xf>
    <xf numFmtId="164" fontId="8" fillId="0" borderId="12" xfId="0" applyNumberFormat="1" applyFont="1" applyFill="1" applyBorder="1" applyAlignment="1">
      <alignment horizontal="right"/>
    </xf>
    <xf numFmtId="164" fontId="8" fillId="0" borderId="10" xfId="0" applyNumberFormat="1" applyFont="1" applyFill="1" applyBorder="1" applyAlignment="1">
      <alignment horizontal="right"/>
    </xf>
    <xf numFmtId="164" fontId="8" fillId="0" borderId="20" xfId="0" applyNumberFormat="1" applyFont="1" applyFill="1" applyBorder="1" applyAlignment="1">
      <alignment horizontal="right"/>
    </xf>
    <xf numFmtId="164" fontId="10" fillId="0" borderId="11" xfId="0" applyNumberFormat="1" applyFont="1" applyFill="1" applyBorder="1" applyAlignment="1">
      <alignment horizontal="center"/>
    </xf>
    <xf numFmtId="0" fontId="8" fillId="0" borderId="0" xfId="0" applyFont="1" applyFill="1" applyBorder="1" applyAlignment="1">
      <alignment/>
    </xf>
    <xf numFmtId="164" fontId="8" fillId="0" borderId="23" xfId="0" applyNumberFormat="1" applyFont="1" applyFill="1" applyBorder="1" applyAlignment="1">
      <alignment horizontal="right"/>
    </xf>
    <xf numFmtId="164" fontId="8" fillId="0" borderId="29" xfId="0" applyNumberFormat="1" applyFont="1" applyFill="1" applyBorder="1" applyAlignment="1">
      <alignment horizontal="right"/>
    </xf>
    <xf numFmtId="164" fontId="8" fillId="0" borderId="33" xfId="0" applyNumberFormat="1" applyFont="1" applyFill="1" applyBorder="1" applyAlignment="1">
      <alignment horizontal="right"/>
    </xf>
    <xf numFmtId="164" fontId="10" fillId="0" borderId="15" xfId="0" applyNumberFormat="1" applyFont="1" applyFill="1" applyBorder="1" applyAlignment="1">
      <alignment horizontal="center"/>
    </xf>
    <xf numFmtId="0" fontId="0" fillId="0" borderId="23" xfId="0" applyFill="1" applyBorder="1" applyAlignment="1">
      <alignment/>
    </xf>
    <xf numFmtId="0" fontId="0" fillId="0" borderId="29" xfId="0" applyFill="1" applyBorder="1" applyAlignment="1">
      <alignment/>
    </xf>
    <xf numFmtId="1" fontId="0" fillId="0" borderId="23" xfId="0" applyNumberFormat="1" applyFill="1" applyBorder="1" applyAlignment="1">
      <alignment horizontal="center"/>
    </xf>
    <xf numFmtId="1" fontId="0" fillId="0" borderId="15" xfId="0" applyNumberFormat="1" applyFill="1" applyBorder="1" applyAlignment="1">
      <alignment horizontal="center"/>
    </xf>
    <xf numFmtId="0" fontId="2" fillId="33" borderId="12" xfId="0" applyFont="1" applyFill="1" applyBorder="1" applyAlignment="1">
      <alignment/>
    </xf>
    <xf numFmtId="0" fontId="5" fillId="33" borderId="10" xfId="0" applyFont="1" applyFill="1" applyBorder="1" applyAlignment="1">
      <alignment/>
    </xf>
    <xf numFmtId="0" fontId="8" fillId="33" borderId="10" xfId="0" applyFont="1" applyFill="1" applyBorder="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20" xfId="0" applyFont="1" applyFill="1" applyBorder="1" applyAlignment="1">
      <alignment horizontal="center"/>
    </xf>
    <xf numFmtId="0" fontId="2" fillId="33" borderId="11" xfId="0" applyFont="1" applyFill="1" applyBorder="1" applyAlignment="1">
      <alignment horizontal="center"/>
    </xf>
    <xf numFmtId="0" fontId="14" fillId="33" borderId="26" xfId="0" applyFont="1" applyFill="1" applyBorder="1" applyAlignment="1">
      <alignment/>
    </xf>
    <xf numFmtId="0" fontId="8" fillId="33" borderId="24" xfId="0" applyFont="1" applyFill="1" applyBorder="1" applyAlignment="1">
      <alignment/>
    </xf>
    <xf numFmtId="164" fontId="14" fillId="33" borderId="26" xfId="0" applyNumberFormat="1" applyFont="1" applyFill="1" applyBorder="1" applyAlignment="1">
      <alignment horizontal="right"/>
    </xf>
    <xf numFmtId="164" fontId="14" fillId="33" borderId="43" xfId="0" applyNumberFormat="1" applyFont="1" applyFill="1" applyBorder="1" applyAlignment="1">
      <alignment horizontal="right"/>
    </xf>
    <xf numFmtId="164" fontId="14" fillId="33" borderId="43" xfId="0" applyNumberFormat="1" applyFont="1" applyFill="1" applyBorder="1" applyAlignment="1">
      <alignment horizontal="center"/>
    </xf>
    <xf numFmtId="1" fontId="12" fillId="6" borderId="24" xfId="0" applyNumberFormat="1" applyFont="1" applyFill="1" applyBorder="1" applyAlignment="1" applyProtection="1">
      <alignment horizontal="center" vertical="center"/>
      <protection locked="0"/>
    </xf>
    <xf numFmtId="1" fontId="2" fillId="6" borderId="31"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20" xfId="0" applyFont="1" applyFill="1" applyBorder="1" applyAlignment="1" applyProtection="1">
      <alignment horizontal="center" vertical="center"/>
      <protection locked="0"/>
    </xf>
    <xf numFmtId="0" fontId="0" fillId="0" borderId="0" xfId="0" applyFill="1" applyBorder="1" applyAlignment="1">
      <alignment/>
    </xf>
    <xf numFmtId="0" fontId="0" fillId="0" borderId="19" xfId="0" applyFill="1" applyBorder="1" applyAlignment="1">
      <alignment/>
    </xf>
    <xf numFmtId="0" fontId="0" fillId="10" borderId="27" xfId="0" applyFont="1" applyFill="1" applyBorder="1" applyAlignment="1">
      <alignment/>
    </xf>
    <xf numFmtId="0" fontId="12" fillId="6" borderId="24"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protection locked="0"/>
    </xf>
    <xf numFmtId="1" fontId="12" fillId="6" borderId="31" xfId="0" applyNumberFormat="1" applyFont="1" applyFill="1" applyBorder="1" applyAlignment="1" applyProtection="1">
      <alignment horizontal="center"/>
      <protection locked="0"/>
    </xf>
    <xf numFmtId="0" fontId="12" fillId="6" borderId="26" xfId="0" applyFont="1" applyFill="1" applyBorder="1" applyAlignment="1" applyProtection="1">
      <alignment horizontal="center"/>
      <protection locked="0"/>
    </xf>
    <xf numFmtId="1" fontId="12" fillId="10" borderId="24" xfId="0" applyNumberFormat="1" applyFont="1" applyFill="1" applyBorder="1" applyAlignment="1" applyProtection="1">
      <alignment horizontal="center"/>
      <protection locked="0"/>
    </xf>
    <xf numFmtId="1" fontId="12" fillId="6" borderId="26" xfId="0" applyNumberFormat="1"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12" fillId="0" borderId="44" xfId="0" applyFont="1" applyFill="1" applyBorder="1" applyAlignment="1" applyProtection="1">
      <alignment/>
      <protection locked="0"/>
    </xf>
    <xf numFmtId="0" fontId="54" fillId="0" borderId="45" xfId="0" applyFont="1" applyFill="1" applyBorder="1" applyAlignment="1">
      <alignment/>
    </xf>
    <xf numFmtId="0" fontId="43" fillId="33" borderId="45" xfId="0" applyFont="1" applyFill="1" applyBorder="1" applyAlignment="1">
      <alignment/>
    </xf>
    <xf numFmtId="1" fontId="12" fillId="0" borderId="42" xfId="0" applyNumberFormat="1" applyFont="1" applyFill="1" applyBorder="1" applyAlignment="1" applyProtection="1">
      <alignment horizontal="center"/>
      <protection locked="0"/>
    </xf>
    <xf numFmtId="0" fontId="49" fillId="0" borderId="45" xfId="0" applyFont="1" applyFill="1" applyBorder="1" applyAlignment="1">
      <alignment/>
    </xf>
    <xf numFmtId="0" fontId="9" fillId="33" borderId="45" xfId="0" applyFont="1" applyFill="1" applyBorder="1" applyAlignment="1" applyProtection="1">
      <alignment horizontal="center"/>
      <protection locked="0"/>
    </xf>
    <xf numFmtId="166"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xf>
    <xf numFmtId="1"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vertical="center"/>
    </xf>
    <xf numFmtId="1" fontId="9" fillId="33" borderId="45" xfId="0" applyNumberFormat="1"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166" fontId="9" fillId="0" borderId="24" xfId="0" applyNumberFormat="1"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1" fontId="9" fillId="0" borderId="24" xfId="0" applyNumberFormat="1" applyFont="1" applyFill="1" applyBorder="1" applyAlignment="1" applyProtection="1">
      <alignment horizontal="center" vertical="center"/>
      <protection locked="0"/>
    </xf>
    <xf numFmtId="0" fontId="43" fillId="0" borderId="27" xfId="0" applyFont="1" applyFill="1" applyBorder="1" applyAlignment="1">
      <alignment/>
    </xf>
    <xf numFmtId="0" fontId="43" fillId="0" borderId="45" xfId="0" applyFont="1" applyFill="1" applyBorder="1" applyAlignment="1">
      <alignment/>
    </xf>
    <xf numFmtId="0" fontId="49" fillId="0" borderId="0" xfId="0" applyFont="1" applyFill="1" applyBorder="1" applyAlignment="1">
      <alignment/>
    </xf>
    <xf numFmtId="2" fontId="9" fillId="33" borderId="45" xfId="0" applyNumberFormat="1" applyFont="1" applyFill="1" applyBorder="1" applyAlignment="1" applyProtection="1">
      <alignment horizontal="center"/>
      <protection locked="0"/>
    </xf>
    <xf numFmtId="0" fontId="49" fillId="0" borderId="45" xfId="0" applyFont="1" applyFill="1" applyBorder="1" applyAlignment="1">
      <alignment horizontal="center"/>
    </xf>
    <xf numFmtId="1" fontId="9" fillId="0" borderId="45" xfId="0" applyNumberFormat="1" applyFont="1" applyFill="1" applyBorder="1" applyAlignment="1" applyProtection="1">
      <alignment horizontal="center" vertical="center"/>
      <protection locked="0"/>
    </xf>
    <xf numFmtId="0" fontId="9" fillId="0" borderId="45" xfId="0" applyFont="1" applyFill="1" applyBorder="1" applyAlignment="1">
      <alignment/>
    </xf>
    <xf numFmtId="0" fontId="9" fillId="0" borderId="45" xfId="0" applyFont="1" applyFill="1" applyBorder="1" applyAlignment="1" applyProtection="1">
      <alignment horizontal="left" vertical="center"/>
      <protection locked="0"/>
    </xf>
    <xf numFmtId="0" fontId="9" fillId="0" borderId="45" xfId="0" applyFont="1" applyFill="1" applyBorder="1" applyAlignment="1" applyProtection="1">
      <alignment horizontal="center"/>
      <protection locked="0"/>
    </xf>
    <xf numFmtId="166"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xf>
    <xf numFmtId="1" fontId="9" fillId="0" borderId="45" xfId="0" applyNumberFormat="1" applyFont="1" applyFill="1" applyBorder="1" applyAlignment="1" applyProtection="1">
      <alignment horizontal="center"/>
      <protection locked="0"/>
    </xf>
    <xf numFmtId="0" fontId="9" fillId="0" borderId="45" xfId="0" applyFont="1" applyFill="1" applyBorder="1" applyAlignment="1" applyProtection="1">
      <alignment/>
      <protection locked="0"/>
    </xf>
    <xf numFmtId="2"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vertical="center"/>
    </xf>
    <xf numFmtId="0" fontId="12" fillId="0" borderId="44" xfId="0" applyFont="1" applyFill="1" applyBorder="1" applyAlignment="1" applyProtection="1">
      <alignment horizontal="center"/>
      <protection locked="0"/>
    </xf>
    <xf numFmtId="166" fontId="12" fillId="0" borderId="45" xfId="0" applyNumberFormat="1" applyFont="1" applyFill="1" applyBorder="1" applyAlignment="1" applyProtection="1">
      <alignment horizontal="center"/>
      <protection locked="0"/>
    </xf>
    <xf numFmtId="0" fontId="12" fillId="0" borderId="46" xfId="0" applyFont="1" applyFill="1" applyBorder="1" applyAlignment="1">
      <alignment horizontal="center"/>
    </xf>
    <xf numFmtId="0" fontId="12" fillId="0" borderId="45" xfId="0" applyFont="1" applyFill="1" applyBorder="1" applyAlignment="1" applyProtection="1">
      <alignment horizontal="center"/>
      <protection locked="0"/>
    </xf>
    <xf numFmtId="1" fontId="12" fillId="0" borderId="45" xfId="0" applyNumberFormat="1" applyFont="1" applyFill="1" applyBorder="1" applyAlignment="1" applyProtection="1">
      <alignment horizontal="center"/>
      <protection locked="0"/>
    </xf>
    <xf numFmtId="0" fontId="0" fillId="10" borderId="0" xfId="0" applyFill="1" applyBorder="1" applyAlignment="1">
      <alignment/>
    </xf>
    <xf numFmtId="0" fontId="43" fillId="10" borderId="0" xfId="0" applyFont="1" applyFill="1" applyBorder="1" applyAlignment="1">
      <alignment/>
    </xf>
    <xf numFmtId="166" fontId="10" fillId="0" borderId="47"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20" xfId="0" applyBorder="1" applyAlignment="1">
      <alignment/>
    </xf>
    <xf numFmtId="0" fontId="54" fillId="0" borderId="17" xfId="0" applyFont="1" applyFill="1" applyBorder="1" applyAlignment="1">
      <alignment/>
    </xf>
    <xf numFmtId="0" fontId="10" fillId="0" borderId="17"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5" fillId="0" borderId="17" xfId="0" applyFont="1" applyFill="1" applyBorder="1" applyAlignment="1" applyProtection="1">
      <alignment/>
      <protection locked="0"/>
    </xf>
    <xf numFmtId="0" fontId="3" fillId="0" borderId="21" xfId="0" applyFont="1" applyFill="1" applyBorder="1" applyAlignment="1" applyProtection="1">
      <alignment vertical="center"/>
      <protection locked="0"/>
    </xf>
    <xf numFmtId="0" fontId="12" fillId="0" borderId="46" xfId="0" applyFont="1" applyFill="1" applyBorder="1" applyAlignment="1" applyProtection="1">
      <alignment/>
      <protection locked="0"/>
    </xf>
    <xf numFmtId="1" fontId="9" fillId="0" borderId="48" xfId="0" applyNumberFormat="1" applyFont="1" applyFill="1" applyBorder="1" applyAlignment="1" applyProtection="1">
      <alignment horizontal="center"/>
      <protection locked="0"/>
    </xf>
    <xf numFmtId="0" fontId="5" fillId="0" borderId="17" xfId="0" applyFont="1" applyFill="1" applyBorder="1" applyAlignment="1" applyProtection="1">
      <alignment vertical="center"/>
      <protection locked="0"/>
    </xf>
    <xf numFmtId="0" fontId="12" fillId="0" borderId="46" xfId="0" applyFont="1" applyFill="1" applyBorder="1" applyAlignment="1" applyProtection="1">
      <alignment vertical="center"/>
      <protection locked="0"/>
    </xf>
    <xf numFmtId="1" fontId="9" fillId="0" borderId="48" xfId="0" applyNumberFormat="1" applyFont="1" applyFill="1" applyBorder="1" applyAlignment="1" applyProtection="1">
      <alignment horizontal="center" vertical="center"/>
      <protection locked="0"/>
    </xf>
    <xf numFmtId="1" fontId="12" fillId="0" borderId="48" xfId="0" applyNumberFormat="1" applyFont="1" applyFill="1" applyBorder="1" applyAlignment="1" applyProtection="1">
      <alignment horizontal="center"/>
      <protection locked="0"/>
    </xf>
    <xf numFmtId="0" fontId="48" fillId="0" borderId="0" xfId="0" applyFont="1" applyFill="1" applyBorder="1" applyAlignment="1">
      <alignment horizontal="right"/>
    </xf>
    <xf numFmtId="0" fontId="5" fillId="0" borderId="21" xfId="0" applyFont="1" applyFill="1" applyBorder="1" applyAlignment="1" applyProtection="1">
      <alignment/>
      <protection locked="0"/>
    </xf>
    <xf numFmtId="0" fontId="8" fillId="0" borderId="10" xfId="0" applyFont="1" applyFill="1" applyBorder="1" applyAlignment="1" applyProtection="1">
      <alignment horizontal="center"/>
      <protection locked="0"/>
    </xf>
    <xf numFmtId="0" fontId="4" fillId="33" borderId="10" xfId="0" applyFont="1" applyFill="1" applyBorder="1" applyAlignment="1">
      <alignment horizontal="right"/>
    </xf>
    <xf numFmtId="0" fontId="3" fillId="0" borderId="0" xfId="0" applyFont="1" applyFill="1" applyBorder="1" applyAlignment="1">
      <alignment horizontal="right"/>
    </xf>
    <xf numFmtId="0" fontId="8" fillId="0" borderId="13" xfId="0" applyFont="1" applyFill="1" applyBorder="1" applyAlignment="1" applyProtection="1">
      <alignment horizontal="center"/>
      <protection/>
    </xf>
    <xf numFmtId="0" fontId="18" fillId="0" borderId="0" xfId="0" applyFont="1" applyFill="1" applyBorder="1" applyAlignment="1" applyProtection="1">
      <alignment/>
      <protection/>
    </xf>
    <xf numFmtId="164" fontId="2" fillId="0" borderId="33" xfId="0" applyNumberFormat="1" applyFont="1" applyFill="1" applyBorder="1" applyAlignment="1">
      <alignment horizontal="center"/>
    </xf>
    <xf numFmtId="0" fontId="76" fillId="0" borderId="0" xfId="0" applyFont="1" applyAlignment="1">
      <alignment/>
    </xf>
    <xf numFmtId="0" fontId="8" fillId="0" borderId="10" xfId="0" applyFont="1" applyBorder="1" applyAlignment="1" applyProtection="1">
      <alignment horizontal="left"/>
      <protection/>
    </xf>
    <xf numFmtId="0" fontId="5" fillId="0" borderId="10" xfId="0" applyFont="1" applyBorder="1" applyAlignment="1" applyProtection="1">
      <alignment horizontal="center"/>
      <protection/>
    </xf>
    <xf numFmtId="0" fontId="5" fillId="0" borderId="10" xfId="0" applyFont="1" applyBorder="1" applyAlignment="1" applyProtection="1">
      <alignment horizontal="center"/>
      <protection locked="0"/>
    </xf>
    <xf numFmtId="0" fontId="3" fillId="0" borderId="10" xfId="0" applyFont="1" applyBorder="1" applyAlignment="1" applyProtection="1">
      <alignment horizontal="center"/>
      <protection locked="0"/>
    </xf>
    <xf numFmtId="164" fontId="4" fillId="0" borderId="20" xfId="0" applyNumberFormat="1" applyFont="1" applyBorder="1" applyAlignment="1">
      <alignment horizontal="center"/>
    </xf>
    <xf numFmtId="0" fontId="5" fillId="0" borderId="49" xfId="0" applyFont="1" applyFill="1" applyBorder="1" applyAlignment="1" applyProtection="1">
      <alignment/>
      <protection/>
    </xf>
    <xf numFmtId="164" fontId="8" fillId="0" borderId="39" xfId="0" applyNumberFormat="1" applyFont="1" applyFill="1" applyBorder="1" applyAlignment="1">
      <alignment horizontal="center"/>
    </xf>
    <xf numFmtId="0" fontId="5" fillId="0" borderId="10" xfId="0" applyFont="1" applyBorder="1" applyAlignment="1" applyProtection="1">
      <alignment horizontal="centerContinuous"/>
      <protection/>
    </xf>
    <xf numFmtId="0" fontId="92" fillId="0" borderId="0" xfId="0" applyFont="1" applyAlignment="1">
      <alignment vertical="top" wrapText="1"/>
    </xf>
    <xf numFmtId="0" fontId="5" fillId="34" borderId="30" xfId="0" applyFont="1" applyFill="1" applyBorder="1" applyAlignment="1" applyProtection="1">
      <alignment/>
      <protection locked="0"/>
    </xf>
    <xf numFmtId="0" fontId="52" fillId="34" borderId="34" xfId="0" applyFont="1" applyFill="1" applyBorder="1" applyAlignment="1">
      <alignment/>
    </xf>
    <xf numFmtId="0" fontId="5" fillId="34" borderId="16" xfId="0" applyFont="1" applyFill="1" applyBorder="1" applyAlignment="1" applyProtection="1">
      <alignment/>
      <protection locked="0"/>
    </xf>
    <xf numFmtId="0" fontId="5" fillId="34" borderId="17" xfId="0" applyFont="1" applyFill="1" applyBorder="1" applyAlignment="1" applyProtection="1">
      <alignment/>
      <protection locked="0"/>
    </xf>
    <xf numFmtId="0" fontId="3" fillId="0" borderId="16" xfId="0" applyFont="1" applyFill="1" applyBorder="1" applyAlignment="1" applyProtection="1">
      <alignment/>
      <protection locked="0"/>
    </xf>
    <xf numFmtId="0" fontId="52" fillId="10" borderId="0" xfId="0" applyFont="1" applyFill="1" applyBorder="1" applyAlignment="1">
      <alignment/>
    </xf>
    <xf numFmtId="0" fontId="43" fillId="10" borderId="0" xfId="0" applyFont="1" applyFill="1" applyAlignment="1">
      <alignment/>
    </xf>
    <xf numFmtId="0" fontId="3" fillId="10" borderId="17" xfId="0" applyFont="1" applyFill="1" applyBorder="1" applyAlignment="1" applyProtection="1">
      <alignment horizontal="left"/>
      <protection/>
    </xf>
    <xf numFmtId="0" fontId="5" fillId="10" borderId="17" xfId="0" applyFont="1" applyFill="1" applyBorder="1" applyAlignment="1" applyProtection="1">
      <alignment/>
      <protection locked="0"/>
    </xf>
    <xf numFmtId="0" fontId="49" fillId="10" borderId="0" xfId="0" applyFont="1" applyFill="1" applyBorder="1" applyAlignment="1">
      <alignment/>
    </xf>
    <xf numFmtId="166" fontId="10" fillId="10" borderId="28" xfId="0" applyNumberFormat="1" applyFont="1" applyFill="1" applyBorder="1" applyAlignment="1" applyProtection="1">
      <alignment horizontal="center"/>
      <protection locked="0"/>
    </xf>
    <xf numFmtId="0" fontId="4" fillId="0" borderId="0" xfId="0" applyFont="1" applyAlignment="1">
      <alignment/>
    </xf>
    <xf numFmtId="0" fontId="3" fillId="0" borderId="47" xfId="0" applyFont="1" applyBorder="1" applyAlignment="1">
      <alignment/>
    </xf>
    <xf numFmtId="0" fontId="0" fillId="0" borderId="28" xfId="0" applyBorder="1" applyAlignment="1">
      <alignment horizontal="right"/>
    </xf>
    <xf numFmtId="0" fontId="3" fillId="0" borderId="47" xfId="0" applyFont="1" applyBorder="1" applyAlignment="1">
      <alignment horizontal="right" wrapText="1"/>
    </xf>
    <xf numFmtId="0" fontId="0" fillId="0" borderId="47" xfId="0" applyBorder="1" applyAlignment="1">
      <alignment horizontal="right"/>
    </xf>
    <xf numFmtId="0" fontId="0" fillId="0" borderId="47" xfId="0" applyBorder="1" applyAlignment="1">
      <alignment horizontal="right" wrapText="1"/>
    </xf>
    <xf numFmtId="0" fontId="0" fillId="0" borderId="50" xfId="0" applyBorder="1" applyAlignment="1">
      <alignment/>
    </xf>
    <xf numFmtId="1" fontId="0" fillId="0" borderId="50" xfId="0" applyNumberFormat="1" applyBorder="1" applyAlignment="1">
      <alignment/>
    </xf>
    <xf numFmtId="0" fontId="0" fillId="0" borderId="51" xfId="0" applyBorder="1" applyAlignment="1">
      <alignment/>
    </xf>
    <xf numFmtId="1" fontId="0" fillId="0" borderId="51" xfId="0" applyNumberFormat="1" applyBorder="1" applyAlignment="1">
      <alignment/>
    </xf>
    <xf numFmtId="0" fontId="0" fillId="0" borderId="52" xfId="0" applyBorder="1" applyAlignment="1">
      <alignment/>
    </xf>
    <xf numFmtId="1" fontId="0" fillId="0" borderId="52" xfId="0" applyNumberFormat="1" applyBorder="1" applyAlignment="1">
      <alignment/>
    </xf>
    <xf numFmtId="1" fontId="3" fillId="0" borderId="50" xfId="0" applyNumberFormat="1" applyFont="1" applyBorder="1" applyAlignment="1">
      <alignment/>
    </xf>
    <xf numFmtId="0" fontId="0" fillId="0" borderId="28" xfId="0" applyBorder="1" applyAlignment="1">
      <alignment/>
    </xf>
    <xf numFmtId="1" fontId="0" fillId="0" borderId="53" xfId="0" applyNumberFormat="1" applyBorder="1" applyAlignment="1">
      <alignment/>
    </xf>
    <xf numFmtId="1" fontId="0" fillId="0" borderId="28" xfId="0" applyNumberFormat="1" applyBorder="1" applyAlignment="1">
      <alignment/>
    </xf>
    <xf numFmtId="0" fontId="0" fillId="0" borderId="54" xfId="0" applyBorder="1" applyAlignment="1">
      <alignment/>
    </xf>
    <xf numFmtId="1" fontId="0" fillId="0" borderId="54" xfId="0" applyNumberFormat="1" applyBorder="1" applyAlignment="1">
      <alignment/>
    </xf>
    <xf numFmtId="0" fontId="3" fillId="0" borderId="52" xfId="0" applyFont="1" applyBorder="1" applyAlignment="1">
      <alignment/>
    </xf>
    <xf numFmtId="0" fontId="3" fillId="0" borderId="50" xfId="0" applyFont="1" applyBorder="1" applyAlignment="1">
      <alignment/>
    </xf>
    <xf numFmtId="0" fontId="3" fillId="0" borderId="54" xfId="0" applyFont="1" applyBorder="1" applyAlignment="1">
      <alignment/>
    </xf>
    <xf numFmtId="0" fontId="3" fillId="0" borderId="51" xfId="0" applyFont="1" applyBorder="1" applyAlignment="1">
      <alignment/>
    </xf>
    <xf numFmtId="1" fontId="3" fillId="0" borderId="0" xfId="0" applyNumberFormat="1" applyFont="1" applyAlignment="1">
      <alignment/>
    </xf>
    <xf numFmtId="1" fontId="3" fillId="0" borderId="0" xfId="0" applyNumberFormat="1" applyFont="1" applyAlignment="1">
      <alignment/>
    </xf>
    <xf numFmtId="0" fontId="93" fillId="33" borderId="0" xfId="0" applyFont="1" applyFill="1" applyBorder="1" applyAlignment="1">
      <alignment horizontal="center" wrapText="1"/>
    </xf>
    <xf numFmtId="0" fontId="92" fillId="0" borderId="0" xfId="0" applyFont="1" applyAlignment="1">
      <alignment vertical="top" wrapText="1"/>
    </xf>
    <xf numFmtId="0" fontId="83" fillId="6" borderId="24" xfId="0" applyFont="1" applyFill="1" applyBorder="1" applyAlignment="1">
      <alignment horizontal="center"/>
    </xf>
    <xf numFmtId="0" fontId="85" fillId="6" borderId="31" xfId="0" applyFont="1" applyFill="1" applyBorder="1" applyAlignment="1">
      <alignment horizontal="center"/>
    </xf>
    <xf numFmtId="0" fontId="50" fillId="34" borderId="55" xfId="0" applyFont="1" applyFill="1" applyBorder="1" applyAlignment="1">
      <alignment horizontal="center"/>
    </xf>
    <xf numFmtId="0" fontId="50" fillId="34" borderId="56" xfId="0" applyFont="1" applyFill="1" applyBorder="1" applyAlignment="1">
      <alignment horizontal="center"/>
    </xf>
    <xf numFmtId="0" fontId="50" fillId="34" borderId="57" xfId="0" applyFont="1" applyFill="1" applyBorder="1" applyAlignment="1">
      <alignment horizontal="center"/>
    </xf>
    <xf numFmtId="0" fontId="50" fillId="10" borderId="55" xfId="0" applyFont="1" applyFill="1" applyBorder="1" applyAlignment="1">
      <alignment horizontal="center"/>
    </xf>
    <xf numFmtId="0" fontId="50" fillId="10" borderId="56" xfId="0" applyFont="1" applyFill="1" applyBorder="1" applyAlignment="1">
      <alignment horizontal="center"/>
    </xf>
    <xf numFmtId="0" fontId="50" fillId="10" borderId="57" xfId="0" applyFont="1" applyFill="1" applyBorder="1" applyAlignment="1">
      <alignment horizontal="center"/>
    </xf>
    <xf numFmtId="0" fontId="56" fillId="33" borderId="12" xfId="0" applyFont="1" applyFill="1" applyBorder="1" applyAlignment="1">
      <alignment horizontal="center"/>
    </xf>
    <xf numFmtId="0" fontId="56" fillId="33" borderId="10" xfId="0" applyFont="1" applyFill="1" applyBorder="1" applyAlignment="1">
      <alignment horizontal="center"/>
    </xf>
    <xf numFmtId="14" fontId="76" fillId="34" borderId="0" xfId="0" applyNumberFormat="1" applyFont="1" applyFill="1" applyAlignment="1">
      <alignment horizontal="center"/>
    </xf>
    <xf numFmtId="0" fontId="3" fillId="0" borderId="0" xfId="0" applyFont="1" applyAlignment="1">
      <alignment vertical="center" wrapText="1"/>
    </xf>
    <xf numFmtId="0" fontId="0" fillId="0" borderId="0" xfId="0" applyAlignment="1">
      <alignment vertical="center"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xf>
    <xf numFmtId="0" fontId="0" fillId="0" borderId="0" xfId="0" applyNumberFormat="1" applyAlignment="1">
      <alignment vertical="center" wrapText="1"/>
    </xf>
    <xf numFmtId="0" fontId="0" fillId="0" borderId="0" xfId="0" applyNumberFormat="1" applyAlignment="1">
      <alignment vertical="center"/>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 </a:t>
            </a:r>
            <a:r>
              <a:rPr lang="en-US" cap="none" sz="1600" b="1" i="0" u="none" baseline="0">
                <a:solidFill>
                  <a:srgbClr val="000000"/>
                </a:solidFill>
              </a:rPr>
              <a:t>Luomuun  siirtymisen kannattavuus tilalla </a:t>
            </a:r>
            <a:r>
              <a:rPr lang="en-US" cap="none" sz="115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Katetuotto A</a:t>
            </a:r>
            <a:r>
              <a:rPr lang="en-US" cap="none" sz="1600" b="1" i="0" u="none" baseline="0">
                <a:solidFill>
                  <a:srgbClr val="000000"/>
                </a:solidFill>
              </a:rPr>
              <a:t>  </a:t>
            </a:r>
            <a:r>
              <a:rPr lang="en-US" cap="none" sz="1200" b="0" i="0" u="none" baseline="0">
                <a:solidFill>
                  <a:srgbClr val="000000"/>
                </a:solidFill>
              </a:rPr>
              <a:t>€/ha</a:t>
            </a:r>
          </a:p>
        </c:rich>
      </c:tx>
      <c:layout>
        <c:manualLayout>
          <c:xMode val="factor"/>
          <c:yMode val="factor"/>
          <c:x val="0.04625"/>
          <c:y val="0"/>
        </c:manualLayout>
      </c:layout>
      <c:spPr>
        <a:noFill/>
        <a:ln w="3175">
          <a:noFill/>
        </a:ln>
      </c:spPr>
    </c:title>
    <c:plotArea>
      <c:layout>
        <c:manualLayout>
          <c:xMode val="edge"/>
          <c:yMode val="edge"/>
          <c:x val="0.06"/>
          <c:y val="0.23425"/>
          <c:w val="0.91025"/>
          <c:h val="0.72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'C1-alue'!$D$78:$H$78</c:f>
              <c:strCache/>
            </c:strRef>
          </c:cat>
          <c:val>
            <c:numRef>
              <c:f>'C1-alue'!$D$82:$H$82</c:f>
              <c:numCache/>
            </c:numRef>
          </c:val>
        </c:ser>
        <c:axId val="4357120"/>
        <c:axId val="39214081"/>
      </c:barChart>
      <c:catAx>
        <c:axId val="4357120"/>
        <c:scaling>
          <c:orientation val="minMax"/>
        </c:scaling>
        <c:axPos val="b"/>
        <c:delete val="0"/>
        <c:numFmt formatCode="General" sourceLinked="1"/>
        <c:majorTickMark val="out"/>
        <c:minorTickMark val="none"/>
        <c:tickLblPos val="nextTo"/>
        <c:spPr>
          <a:ln w="3175">
            <a:solidFill>
              <a:srgbClr val="000000"/>
            </a:solidFill>
          </a:ln>
        </c:spPr>
        <c:crossAx val="39214081"/>
        <c:crosses val="autoZero"/>
        <c:auto val="1"/>
        <c:lblOffset val="100"/>
        <c:tickLblSkip val="1"/>
        <c:noMultiLvlLbl val="0"/>
      </c:catAx>
      <c:valAx>
        <c:axId val="39214081"/>
        <c:scaling>
          <c:orientation val="minMax"/>
        </c:scaling>
        <c:axPos val="l"/>
        <c:title>
          <c:tx>
            <c:rich>
              <a:bodyPr vert="horz" rot="-5400000" anchor="ctr"/>
              <a:lstStyle/>
              <a:p>
                <a:pPr algn="ctr">
                  <a:defRPr/>
                </a:pPr>
                <a:r>
                  <a:rPr lang="en-US" cap="none" sz="1200" b="1" i="0" u="none" baseline="0">
                    <a:solidFill>
                      <a:srgbClr val="000000"/>
                    </a:solidFill>
                  </a:rPr>
                  <a:t>euroa/ha</a:t>
                </a:r>
              </a:p>
            </c:rich>
          </c:tx>
          <c:layout>
            <c:manualLayout>
              <c:xMode val="factor"/>
              <c:yMode val="factor"/>
              <c:x val="-0.00775"/>
              <c:y val="0.02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571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82</xdr:row>
      <xdr:rowOff>200025</xdr:rowOff>
    </xdr:from>
    <xdr:to>
      <xdr:col>9</xdr:col>
      <xdr:colOff>400050</xdr:colOff>
      <xdr:row>104</xdr:row>
      <xdr:rowOff>0</xdr:rowOff>
    </xdr:to>
    <xdr:graphicFrame>
      <xdr:nvGraphicFramePr>
        <xdr:cNvPr id="1" name="Chart 6"/>
        <xdr:cNvGraphicFramePr/>
      </xdr:nvGraphicFramePr>
      <xdr:xfrm>
        <a:off x="19050" y="17449800"/>
        <a:ext cx="686752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971550</xdr:colOff>
      <xdr:row>3</xdr:row>
      <xdr:rowOff>219075</xdr:rowOff>
    </xdr:to>
    <xdr:pic>
      <xdr:nvPicPr>
        <xdr:cNvPr id="2" name="Picture 145" descr="ProAgria-logoPIENI"/>
        <xdr:cNvPicPr preferRelativeResize="1">
          <a:picLocks noChangeAspect="1"/>
        </xdr:cNvPicPr>
      </xdr:nvPicPr>
      <xdr:blipFill>
        <a:blip r:embed="rId2"/>
        <a:stretch>
          <a:fillRect/>
        </a:stretch>
      </xdr:blipFill>
      <xdr:spPr>
        <a:xfrm>
          <a:off x="0" y="0"/>
          <a:ext cx="971550" cy="1143000"/>
        </a:xfrm>
        <a:prstGeom prst="rect">
          <a:avLst/>
        </a:prstGeom>
        <a:noFill/>
        <a:ln w="9525" cmpd="sng">
          <a:noFill/>
        </a:ln>
      </xdr:spPr>
    </xdr:pic>
    <xdr:clientData/>
  </xdr:twoCellAnchor>
  <xdr:twoCellAnchor>
    <xdr:from>
      <xdr:col>0</xdr:col>
      <xdr:colOff>38100</xdr:colOff>
      <xdr:row>54</xdr:row>
      <xdr:rowOff>28575</xdr:rowOff>
    </xdr:from>
    <xdr:to>
      <xdr:col>0</xdr:col>
      <xdr:colOff>1000125</xdr:colOff>
      <xdr:row>59</xdr:row>
      <xdr:rowOff>114300</xdr:rowOff>
    </xdr:to>
    <xdr:pic>
      <xdr:nvPicPr>
        <xdr:cNvPr id="3" name="Picture 145" descr="ProAgria-logoPIENI"/>
        <xdr:cNvPicPr preferRelativeResize="1">
          <a:picLocks noChangeAspect="1"/>
        </xdr:cNvPicPr>
      </xdr:nvPicPr>
      <xdr:blipFill>
        <a:blip r:embed="rId2"/>
        <a:stretch>
          <a:fillRect/>
        </a:stretch>
      </xdr:blipFill>
      <xdr:spPr>
        <a:xfrm>
          <a:off x="38100" y="11401425"/>
          <a:ext cx="9620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reijo.k&#228;ki\Omat%20tiedostot\a%20ProAgria\MKL\2008\KASVI2007%20kate%20laskelmat%2022.2.2008%20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omukonek."/>
      <sheetName val="Konekust."/>
      <sheetName val="Hinnat"/>
      <sheetName val="Ohra"/>
      <sheetName val="Reijo"/>
      <sheetName val="Mallas"/>
      <sheetName val="Kaura"/>
      <sheetName val="K-vehnä"/>
      <sheetName val="Luomukevätvehnä"/>
      <sheetName val="S-vehnä"/>
      <sheetName val="Ruis"/>
      <sheetName val="Luomuruis"/>
      <sheetName val="Rypsi"/>
      <sheetName val="Viljansiemen"/>
      <sheetName val="P-apila"/>
      <sheetName val="Timotei"/>
      <sheetName val="Nurminata"/>
      <sheetName val="Raiheinä"/>
      <sheetName val="Ruokaperuna"/>
      <sheetName val="Sokerij"/>
      <sheetName val="Heinä"/>
      <sheetName val="Säilöre"/>
      <sheetName val="Luomusäilörehu"/>
      <sheetName val="Laidun"/>
      <sheetName val="12. Ruokohelpi"/>
      <sheetName val="Kesanto"/>
      <sheetName val="Luomukiertolaskelma"/>
      <sheetName val="Rehuvyhd"/>
      <sheetName val="K-vehnäyhd"/>
      <sheetName val="Ruisyhd"/>
      <sheetName val="Rypsiyhd"/>
      <sheetName val="3. Elintarvikekaura"/>
      <sheetName val="4. Kevätruis"/>
      <sheetName val="8. Kumina"/>
      <sheetName val="11. Ruistanko"/>
      <sheetName val="16. Öljypellava"/>
      <sheetName val="RH+O+K"/>
      <sheetName val="Perunayhd"/>
      <sheetName val="Siemenperuna"/>
      <sheetName val="Nskonekust."/>
      <sheetName val="Jkonekust."/>
      <sheetName val="Nurmikonekust."/>
      <sheetName val="Luomunurmik."/>
      <sheetName val="Perunakonekust."/>
      <sheetName val="Tperunakonekust."/>
      <sheetName val="Tärkkelysperuna"/>
      <sheetName val="Taul2"/>
      <sheetName val="Taul3"/>
      <sheetName val="Taul4"/>
    </sheetNames>
    <sheetDataSet>
      <sheetData sheetId="2">
        <row r="2">
          <cell r="F2">
            <v>0.05</v>
          </cell>
        </row>
        <row r="18">
          <cell r="I18">
            <v>0.006</v>
          </cell>
        </row>
        <row r="22">
          <cell r="I22">
            <v>0.27</v>
          </cell>
        </row>
        <row r="23">
          <cell r="I23">
            <v>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5"/>
  <sheetViews>
    <sheetView tabSelected="1" zoomScale="55" zoomScaleNormal="55" zoomScaleSheetLayoutView="100" zoomScalePageLayoutView="40" workbookViewId="0" topLeftCell="A76">
      <selection activeCell="P68" sqref="P68"/>
    </sheetView>
  </sheetViews>
  <sheetFormatPr defaultColWidth="9.00390625" defaultRowHeight="15.75"/>
  <cols>
    <col min="1" max="1" width="13.75390625" style="25" customWidth="1"/>
    <col min="2" max="2" width="5.25390625" style="25" customWidth="1"/>
    <col min="3" max="3" width="10.75390625" style="25" customWidth="1"/>
    <col min="4" max="5" width="8.125" style="0" customWidth="1"/>
    <col min="6" max="6" width="10.50390625" style="0" hidden="1" customWidth="1"/>
    <col min="7" max="7" width="9.125" style="0" hidden="1" customWidth="1"/>
    <col min="8" max="8" width="10.125" style="0" customWidth="1"/>
    <col min="9" max="9" width="12.125" style="0" customWidth="1"/>
    <col min="10" max="10" width="10.50390625" style="0" hidden="1" customWidth="1"/>
    <col min="11" max="11" width="9.125" style="0" hidden="1" customWidth="1"/>
    <col min="12" max="12" width="16.75390625" style="0" customWidth="1"/>
    <col min="13" max="13" width="8.875" style="0" customWidth="1"/>
    <col min="14" max="14" width="10.50390625" style="0" hidden="1" customWidth="1"/>
    <col min="15" max="15" width="1.37890625" style="0" hidden="1" customWidth="1"/>
    <col min="16" max="16" width="11.00390625" style="0" customWidth="1"/>
    <col min="17" max="17" width="9.125" style="0" bestFit="1" customWidth="1"/>
    <col min="18" max="20" width="10.50390625" style="0" customWidth="1"/>
    <col min="22" max="22" width="38.375" style="0" customWidth="1"/>
    <col min="23" max="23" width="10.125" style="7" customWidth="1"/>
    <col min="24" max="24" width="10.625" style="7" customWidth="1"/>
    <col min="25" max="25" width="9.00390625" style="7" customWidth="1"/>
    <col min="26" max="26" width="14.125" style="7" customWidth="1"/>
    <col min="27" max="27" width="14.375" style="7" customWidth="1"/>
    <col min="28" max="28" width="9.00390625" style="60" customWidth="1"/>
    <col min="29" max="29" width="11.625" style="7" customWidth="1"/>
    <col min="30" max="30" width="10.875" style="56" customWidth="1"/>
    <col min="31" max="33" width="9.00390625" style="7" customWidth="1"/>
  </cols>
  <sheetData>
    <row r="1" spans="1:33" ht="23.25" customHeight="1" thickBot="1">
      <c r="A1" s="365" t="s">
        <v>164</v>
      </c>
      <c r="B1" s="148"/>
      <c r="C1" s="148"/>
      <c r="D1" s="569">
        <v>41577</v>
      </c>
      <c r="E1" s="569"/>
      <c r="F1" s="569"/>
      <c r="G1" s="569"/>
      <c r="H1" s="569"/>
      <c r="I1" s="512" t="s">
        <v>166</v>
      </c>
      <c r="L1" s="558" t="s">
        <v>167</v>
      </c>
      <c r="M1" s="558"/>
      <c r="N1" s="558"/>
      <c r="O1" s="558"/>
      <c r="P1" s="558"/>
      <c r="Q1" s="558"/>
      <c r="R1" s="558"/>
      <c r="S1" s="558"/>
      <c r="T1" s="521"/>
      <c r="U1" s="7"/>
      <c r="V1" s="60"/>
      <c r="X1" s="56"/>
      <c r="AB1"/>
      <c r="AC1"/>
      <c r="AD1"/>
      <c r="AE1"/>
      <c r="AF1"/>
      <c r="AG1"/>
    </row>
    <row r="2" spans="1:33" ht="20.25" customHeight="1" thickBot="1">
      <c r="A2" s="522" t="s">
        <v>174</v>
      </c>
      <c r="B2" s="523"/>
      <c r="C2" s="360"/>
      <c r="D2" s="361" t="s">
        <v>158</v>
      </c>
      <c r="E2" s="211">
        <v>0.412</v>
      </c>
      <c r="F2" s="48"/>
      <c r="G2" s="213" t="s">
        <v>157</v>
      </c>
      <c r="H2" s="363"/>
      <c r="J2" s="214"/>
      <c r="K2" s="214"/>
      <c r="L2" s="558"/>
      <c r="M2" s="558"/>
      <c r="N2" s="558"/>
      <c r="O2" s="558"/>
      <c r="P2" s="558"/>
      <c r="Q2" s="558"/>
      <c r="R2" s="558"/>
      <c r="S2" s="558"/>
      <c r="T2" s="521"/>
      <c r="U2" s="7"/>
      <c r="V2" s="60"/>
      <c r="X2" s="56"/>
      <c r="AB2"/>
      <c r="AC2"/>
      <c r="AD2"/>
      <c r="AE2"/>
      <c r="AF2"/>
      <c r="AG2"/>
    </row>
    <row r="3" spans="1:33" ht="20.25" customHeight="1" thickBot="1">
      <c r="A3" s="524"/>
      <c r="B3" s="364"/>
      <c r="C3" s="362"/>
      <c r="D3" s="122"/>
      <c r="E3" s="209"/>
      <c r="F3" s="48"/>
      <c r="G3" s="216"/>
      <c r="H3" s="364"/>
      <c r="J3" s="217"/>
      <c r="K3" s="225"/>
      <c r="L3" s="558"/>
      <c r="M3" s="558"/>
      <c r="N3" s="558"/>
      <c r="O3" s="558"/>
      <c r="P3" s="558"/>
      <c r="Q3" s="558"/>
      <c r="R3" s="558"/>
      <c r="S3" s="558"/>
      <c r="T3" s="521"/>
      <c r="U3" s="7"/>
      <c r="V3" s="60"/>
      <c r="X3" s="56"/>
      <c r="AB3"/>
      <c r="AC3"/>
      <c r="AD3"/>
      <c r="AE3"/>
      <c r="AF3"/>
      <c r="AG3"/>
    </row>
    <row r="4" spans="1:33" ht="20.25" customHeight="1">
      <c r="A4" s="524"/>
      <c r="B4" s="364"/>
      <c r="C4" s="362"/>
      <c r="D4" s="122"/>
      <c r="E4" s="209"/>
      <c r="F4" s="48"/>
      <c r="G4" s="83"/>
      <c r="H4" s="134"/>
      <c r="J4" s="218"/>
      <c r="K4" s="225"/>
      <c r="L4" s="558"/>
      <c r="M4" s="558"/>
      <c r="N4" s="558"/>
      <c r="O4" s="558"/>
      <c r="P4" s="558"/>
      <c r="Q4" s="558"/>
      <c r="R4" s="558"/>
      <c r="S4" s="558"/>
      <c r="T4" s="521"/>
      <c r="U4" s="7"/>
      <c r="V4" s="60"/>
      <c r="X4" s="56"/>
      <c r="AB4"/>
      <c r="AC4"/>
      <c r="AD4"/>
      <c r="AE4"/>
      <c r="AF4"/>
      <c r="AG4"/>
    </row>
    <row r="5" spans="1:33" ht="20.25" customHeight="1">
      <c r="A5" s="525" t="s">
        <v>63</v>
      </c>
      <c r="B5" s="364"/>
      <c r="C5" s="362"/>
      <c r="D5" s="122"/>
      <c r="E5" s="209">
        <v>0.315</v>
      </c>
      <c r="F5" s="48"/>
      <c r="G5" s="83"/>
      <c r="H5" s="134"/>
      <c r="J5" s="218"/>
      <c r="K5" s="225"/>
      <c r="L5" s="558"/>
      <c r="M5" s="558"/>
      <c r="N5" s="558"/>
      <c r="O5" s="558"/>
      <c r="P5" s="558"/>
      <c r="Q5" s="558"/>
      <c r="R5" s="558"/>
      <c r="S5" s="558"/>
      <c r="T5" s="521"/>
      <c r="U5" s="7"/>
      <c r="V5" s="60"/>
      <c r="X5" s="56"/>
      <c r="AB5"/>
      <c r="AC5"/>
      <c r="AD5"/>
      <c r="AE5"/>
      <c r="AF5"/>
      <c r="AG5"/>
    </row>
    <row r="6" spans="1:33" ht="20.25" customHeight="1">
      <c r="A6" s="524" t="s">
        <v>175</v>
      </c>
      <c r="B6" s="364"/>
      <c r="C6" s="362"/>
      <c r="D6" s="122"/>
      <c r="E6" s="209">
        <v>0.462</v>
      </c>
      <c r="F6" s="48"/>
      <c r="G6" s="115"/>
      <c r="H6" s="133"/>
      <c r="J6" s="218"/>
      <c r="K6" s="225"/>
      <c r="L6" s="558"/>
      <c r="M6" s="558"/>
      <c r="N6" s="558"/>
      <c r="O6" s="558"/>
      <c r="P6" s="558"/>
      <c r="Q6" s="558"/>
      <c r="R6" s="558"/>
      <c r="S6" s="558"/>
      <c r="T6" s="521"/>
      <c r="U6" s="7"/>
      <c r="V6" s="60"/>
      <c r="X6" s="56"/>
      <c r="AB6"/>
      <c r="AC6"/>
      <c r="AD6"/>
      <c r="AE6"/>
      <c r="AF6"/>
      <c r="AG6"/>
    </row>
    <row r="7" spans="1:33" ht="20.25" customHeight="1">
      <c r="A7" s="524"/>
      <c r="B7" s="364"/>
      <c r="C7" s="362"/>
      <c r="D7" s="122"/>
      <c r="E7" s="219"/>
      <c r="F7" s="48"/>
      <c r="G7" s="83"/>
      <c r="H7" s="134"/>
      <c r="J7" s="218"/>
      <c r="K7" s="225"/>
      <c r="L7" s="558" t="s">
        <v>168</v>
      </c>
      <c r="M7" s="558"/>
      <c r="N7" s="558"/>
      <c r="O7" s="558"/>
      <c r="P7" s="558"/>
      <c r="Q7" s="558"/>
      <c r="R7" s="558"/>
      <c r="S7" s="558"/>
      <c r="T7" s="521"/>
      <c r="U7" s="7"/>
      <c r="V7" s="60"/>
      <c r="X7" s="56"/>
      <c r="AB7"/>
      <c r="AC7"/>
      <c r="AD7"/>
      <c r="AE7"/>
      <c r="AF7"/>
      <c r="AG7"/>
    </row>
    <row r="8" spans="1:33" ht="20.25" customHeight="1">
      <c r="A8" s="530" t="s">
        <v>173</v>
      </c>
      <c r="B8" s="527"/>
      <c r="C8" s="531"/>
      <c r="D8" s="88"/>
      <c r="E8" s="532">
        <v>0.205</v>
      </c>
      <c r="F8" s="528"/>
      <c r="G8" s="529"/>
      <c r="H8" s="91"/>
      <c r="J8" s="218"/>
      <c r="K8" s="225"/>
      <c r="L8" s="558"/>
      <c r="M8" s="558"/>
      <c r="N8" s="558"/>
      <c r="O8" s="558"/>
      <c r="P8" s="558"/>
      <c r="Q8" s="558"/>
      <c r="R8" s="558"/>
      <c r="S8" s="558"/>
      <c r="T8" s="521"/>
      <c r="U8" s="7"/>
      <c r="V8" s="60"/>
      <c r="X8" s="56"/>
      <c r="AB8"/>
      <c r="AC8"/>
      <c r="AD8"/>
      <c r="AE8"/>
      <c r="AF8"/>
      <c r="AG8"/>
    </row>
    <row r="9" spans="1:33" ht="20.25" customHeight="1" thickBot="1">
      <c r="A9" s="525" t="s">
        <v>176</v>
      </c>
      <c r="B9" s="364"/>
      <c r="C9" s="362"/>
      <c r="D9" s="122"/>
      <c r="E9" s="209">
        <v>0.44</v>
      </c>
      <c r="F9" s="116"/>
      <c r="G9" s="117"/>
      <c r="H9" s="134"/>
      <c r="J9" s="220"/>
      <c r="K9" s="244"/>
      <c r="P9" s="7"/>
      <c r="Q9" s="7"/>
      <c r="R9" s="7"/>
      <c r="S9" s="7"/>
      <c r="T9" s="7"/>
      <c r="U9" s="7"/>
      <c r="V9" s="60"/>
      <c r="X9" s="56"/>
      <c r="AB9"/>
      <c r="AC9"/>
      <c r="AD9"/>
      <c r="AE9"/>
      <c r="AF9"/>
      <c r="AG9"/>
    </row>
    <row r="10" spans="1:33" ht="20.25" customHeight="1" thickBot="1">
      <c r="A10" s="381" t="s">
        <v>161</v>
      </c>
      <c r="B10" s="488"/>
      <c r="C10" s="489"/>
      <c r="D10" s="488"/>
      <c r="E10" s="490">
        <v>0.265</v>
      </c>
      <c r="F10" s="116"/>
      <c r="G10" s="241"/>
      <c r="H10" s="91"/>
      <c r="J10" s="218"/>
      <c r="K10" s="242"/>
      <c r="P10" s="7"/>
      <c r="Q10" s="7"/>
      <c r="R10" s="7"/>
      <c r="S10" s="7"/>
      <c r="T10" s="7"/>
      <c r="U10" s="7"/>
      <c r="V10" s="60"/>
      <c r="X10" s="56"/>
      <c r="AB10"/>
      <c r="AC10"/>
      <c r="AD10"/>
      <c r="AE10"/>
      <c r="AF10"/>
      <c r="AG10"/>
    </row>
    <row r="11" spans="1:22" ht="31.5" customHeight="1" thickBot="1">
      <c r="A11" s="567" t="s">
        <v>146</v>
      </c>
      <c r="B11" s="568"/>
      <c r="C11" s="568"/>
      <c r="D11" s="568"/>
      <c r="E11" s="568"/>
      <c r="F11" s="568"/>
      <c r="G11" s="568"/>
      <c r="H11" s="568"/>
      <c r="I11" s="568"/>
      <c r="J11" s="568"/>
      <c r="K11" s="568"/>
      <c r="L11" s="568"/>
      <c r="M11" s="568"/>
      <c r="N11" s="568"/>
      <c r="O11" s="568"/>
      <c r="P11" s="568"/>
      <c r="Q11" s="568"/>
      <c r="R11" s="491"/>
      <c r="S11" s="492"/>
      <c r="T11" s="491"/>
      <c r="U11" s="492"/>
      <c r="V11" s="57" t="s">
        <v>140</v>
      </c>
    </row>
    <row r="12" spans="1:33" s="35" customFormat="1" ht="18.75" customHeight="1" thickBot="1">
      <c r="A12" s="493"/>
      <c r="B12" s="470"/>
      <c r="C12" s="470"/>
      <c r="D12" s="561" t="s">
        <v>0</v>
      </c>
      <c r="E12" s="562"/>
      <c r="F12" s="562"/>
      <c r="G12" s="562"/>
      <c r="H12" s="562"/>
      <c r="I12" s="563"/>
      <c r="J12" s="221"/>
      <c r="K12" s="221"/>
      <c r="L12" s="564" t="s">
        <v>78</v>
      </c>
      <c r="M12" s="565"/>
      <c r="N12" s="565"/>
      <c r="O12" s="565"/>
      <c r="P12" s="565"/>
      <c r="Q12" s="566"/>
      <c r="R12" s="559" t="s">
        <v>169</v>
      </c>
      <c r="S12" s="560"/>
      <c r="T12" s="559" t="s">
        <v>170</v>
      </c>
      <c r="U12" s="560"/>
      <c r="V12" s="533" t="s">
        <v>178</v>
      </c>
      <c r="W12"/>
      <c r="X12"/>
      <c r="Y12"/>
      <c r="Z12"/>
      <c r="AA12"/>
      <c r="AB12"/>
      <c r="AC12"/>
      <c r="AD12" s="58"/>
      <c r="AE12" s="50"/>
      <c r="AF12" s="50"/>
      <c r="AG12" s="50"/>
    </row>
    <row r="13" spans="1:30" ht="18.75" customHeight="1" thickBot="1">
      <c r="A13" s="228"/>
      <c r="B13" s="225"/>
      <c r="C13" s="225"/>
      <c r="D13" s="398" t="s">
        <v>39</v>
      </c>
      <c r="E13" s="162" t="s">
        <v>40</v>
      </c>
      <c r="F13" s="163" t="s">
        <v>41</v>
      </c>
      <c r="G13" s="164" t="s">
        <v>42</v>
      </c>
      <c r="H13" s="165" t="s">
        <v>43</v>
      </c>
      <c r="I13" s="164" t="s">
        <v>42</v>
      </c>
      <c r="J13" s="166" t="s">
        <v>41</v>
      </c>
      <c r="K13" s="366" t="s">
        <v>42</v>
      </c>
      <c r="L13" s="379"/>
      <c r="M13" s="162" t="s">
        <v>40</v>
      </c>
      <c r="N13" s="163" t="s">
        <v>41</v>
      </c>
      <c r="O13" s="164" t="s">
        <v>42</v>
      </c>
      <c r="P13" s="165" t="s">
        <v>43</v>
      </c>
      <c r="Q13" s="164" t="s">
        <v>42</v>
      </c>
      <c r="R13" s="65" t="s">
        <v>41</v>
      </c>
      <c r="S13" s="66" t="s">
        <v>42</v>
      </c>
      <c r="T13" s="65" t="s">
        <v>41</v>
      </c>
      <c r="U13" s="66" t="s">
        <v>42</v>
      </c>
      <c r="W13"/>
      <c r="X13"/>
      <c r="Y13"/>
      <c r="Z13"/>
      <c r="AA13"/>
      <c r="AB13"/>
      <c r="AC13"/>
      <c r="AD13" s="557" t="s">
        <v>131</v>
      </c>
    </row>
    <row r="14" spans="1:31" ht="18.75" customHeight="1" thickBot="1">
      <c r="A14" s="167" t="s">
        <v>36</v>
      </c>
      <c r="B14" s="222"/>
      <c r="C14" s="222"/>
      <c r="D14" s="464" t="s">
        <v>44</v>
      </c>
      <c r="E14" s="465"/>
      <c r="F14" s="466">
        <v>3000</v>
      </c>
      <c r="G14" s="467"/>
      <c r="H14" s="289">
        <f>'C1-alue'!D7</f>
        <v>3500</v>
      </c>
      <c r="I14" s="384"/>
      <c r="J14" s="289">
        <v>5000</v>
      </c>
      <c r="K14" s="467"/>
      <c r="L14" s="468"/>
      <c r="M14" s="465"/>
      <c r="N14" s="466">
        <v>2000</v>
      </c>
      <c r="O14" s="467"/>
      <c r="P14" s="289">
        <v>3000</v>
      </c>
      <c r="Q14" s="384"/>
      <c r="R14" s="289">
        <v>2000</v>
      </c>
      <c r="S14" s="255"/>
      <c r="T14" s="289">
        <v>2000</v>
      </c>
      <c r="U14" s="255"/>
      <c r="V14" s="534" t="s">
        <v>110</v>
      </c>
      <c r="W14" s="535" t="s">
        <v>111</v>
      </c>
      <c r="X14" s="536" t="s">
        <v>179</v>
      </c>
      <c r="Y14" s="537" t="s">
        <v>112</v>
      </c>
      <c r="Z14" s="538" t="s">
        <v>180</v>
      </c>
      <c r="AA14" s="538" t="s">
        <v>181</v>
      </c>
      <c r="AB14" s="535" t="s">
        <v>132</v>
      </c>
      <c r="AC14" s="537" t="s">
        <v>113</v>
      </c>
      <c r="AD14" s="557"/>
      <c r="AE14" s="51" t="s">
        <v>133</v>
      </c>
    </row>
    <row r="15" spans="1:31" ht="18.75" customHeight="1">
      <c r="A15" s="494" t="s">
        <v>33</v>
      </c>
      <c r="B15" s="225"/>
      <c r="C15" s="225"/>
      <c r="D15" s="399"/>
      <c r="E15" s="118"/>
      <c r="F15" s="119"/>
      <c r="G15" s="120"/>
      <c r="H15" s="121"/>
      <c r="I15" s="120"/>
      <c r="J15" s="36"/>
      <c r="K15" s="38"/>
      <c r="L15" s="381"/>
      <c r="M15" s="84"/>
      <c r="N15" s="85"/>
      <c r="O15" s="87"/>
      <c r="P15" s="86"/>
      <c r="Q15" s="87"/>
      <c r="R15" s="261"/>
      <c r="S15" s="263"/>
      <c r="T15" s="261"/>
      <c r="U15" s="263"/>
      <c r="V15" s="539" t="s">
        <v>114</v>
      </c>
      <c r="W15" s="539">
        <v>187</v>
      </c>
      <c r="X15" s="540">
        <v>0</v>
      </c>
      <c r="Y15" s="539">
        <v>220</v>
      </c>
      <c r="Z15" s="540">
        <v>93</v>
      </c>
      <c r="AA15" s="540">
        <v>23</v>
      </c>
      <c r="AB15" s="540">
        <v>0</v>
      </c>
      <c r="AC15" s="540">
        <f>+W15+X15+Y15+Z15+AA15+AB15</f>
        <v>523</v>
      </c>
      <c r="AD15" s="61">
        <v>141</v>
      </c>
      <c r="AE15" s="52">
        <f aca="true" t="shared" si="0" ref="AE15:AE39">AC15+AD15</f>
        <v>664</v>
      </c>
    </row>
    <row r="16" spans="1:31" ht="18.75" customHeight="1">
      <c r="A16" s="495" t="s">
        <v>45</v>
      </c>
      <c r="B16" s="225"/>
      <c r="C16" s="225"/>
      <c r="D16" s="400" t="s">
        <v>44</v>
      </c>
      <c r="E16" s="211">
        <v>0.33</v>
      </c>
      <c r="F16" s="121">
        <v>205</v>
      </c>
      <c r="G16" s="120">
        <f aca="true" t="shared" si="1" ref="G16:G25">E16*F16</f>
        <v>67.65</v>
      </c>
      <c r="H16" s="233">
        <v>205</v>
      </c>
      <c r="I16" s="120">
        <f aca="true" t="shared" si="2" ref="I16:I25">E16*H16</f>
        <v>67.65</v>
      </c>
      <c r="J16" s="37">
        <v>205</v>
      </c>
      <c r="K16" s="38">
        <f aca="true" t="shared" si="3" ref="K16:K25">E16*J16</f>
        <v>67.65</v>
      </c>
      <c r="L16" s="381"/>
      <c r="M16" s="232">
        <v>0.43</v>
      </c>
      <c r="N16" s="86">
        <v>205</v>
      </c>
      <c r="O16" s="87">
        <f aca="true" t="shared" si="4" ref="O16:O25">M16*N16</f>
        <v>88.15</v>
      </c>
      <c r="P16" s="233">
        <v>220</v>
      </c>
      <c r="Q16" s="87">
        <f>M16*P16</f>
        <v>94.6</v>
      </c>
      <c r="R16" s="372">
        <v>205</v>
      </c>
      <c r="S16" s="263">
        <f>M16*R16</f>
        <v>88.15</v>
      </c>
      <c r="T16" s="372">
        <v>205</v>
      </c>
      <c r="U16" s="263">
        <f aca="true" t="shared" si="5" ref="U16:U25">M16*T16</f>
        <v>88.15</v>
      </c>
      <c r="V16" s="541" t="s">
        <v>115</v>
      </c>
      <c r="W16" s="541">
        <v>187</v>
      </c>
      <c r="X16" s="542">
        <v>0</v>
      </c>
      <c r="Y16" s="541">
        <v>220</v>
      </c>
      <c r="Z16" s="542">
        <v>93</v>
      </c>
      <c r="AA16" s="542">
        <v>23</v>
      </c>
      <c r="AB16" s="542">
        <v>0</v>
      </c>
      <c r="AC16" s="542">
        <f aca="true" t="shared" si="6" ref="AC16:AC38">+W16+X16+Y16+Z16+AA16+AB16</f>
        <v>523</v>
      </c>
      <c r="AD16" s="61">
        <v>141</v>
      </c>
      <c r="AE16" s="52">
        <f t="shared" si="0"/>
        <v>664</v>
      </c>
    </row>
    <row r="17" spans="1:31" ht="18.75" customHeight="1">
      <c r="A17" s="495" t="s">
        <v>46</v>
      </c>
      <c r="B17" s="225"/>
      <c r="C17" s="225"/>
      <c r="D17" s="400" t="s">
        <v>44</v>
      </c>
      <c r="E17" s="232">
        <v>0</v>
      </c>
      <c r="F17" s="121">
        <v>0</v>
      </c>
      <c r="G17" s="120">
        <f t="shared" si="1"/>
        <v>0</v>
      </c>
      <c r="H17" s="233">
        <v>0</v>
      </c>
      <c r="I17" s="120">
        <f t="shared" si="2"/>
        <v>0</v>
      </c>
      <c r="J17" s="37">
        <v>0</v>
      </c>
      <c r="K17" s="38">
        <f t="shared" si="3"/>
        <v>0</v>
      </c>
      <c r="L17" s="381"/>
      <c r="M17" s="232">
        <v>0</v>
      </c>
      <c r="N17" s="86">
        <v>0</v>
      </c>
      <c r="O17" s="87">
        <f t="shared" si="4"/>
        <v>0</v>
      </c>
      <c r="P17" s="233">
        <v>0</v>
      </c>
      <c r="Q17" s="87">
        <f>M17*P17</f>
        <v>0</v>
      </c>
      <c r="R17" s="372">
        <v>0</v>
      </c>
      <c r="S17" s="263">
        <f>M17*R17</f>
        <v>0</v>
      </c>
      <c r="T17" s="372">
        <v>0</v>
      </c>
      <c r="U17" s="263">
        <f t="shared" si="5"/>
        <v>0</v>
      </c>
      <c r="V17" s="541" t="s">
        <v>116</v>
      </c>
      <c r="W17" s="541">
        <v>187</v>
      </c>
      <c r="X17" s="542">
        <v>0</v>
      </c>
      <c r="Y17" s="541">
        <v>220</v>
      </c>
      <c r="Z17" s="542">
        <v>93</v>
      </c>
      <c r="AA17" s="542">
        <v>23</v>
      </c>
      <c r="AB17" s="542">
        <f>0.65*58</f>
        <v>37.7</v>
      </c>
      <c r="AC17" s="542">
        <f t="shared" si="6"/>
        <v>560.7</v>
      </c>
      <c r="AD17" s="61">
        <v>141</v>
      </c>
      <c r="AE17" s="52">
        <f t="shared" si="0"/>
        <v>701.7</v>
      </c>
    </row>
    <row r="18" spans="1:31" ht="18.75" customHeight="1">
      <c r="A18" s="526" t="s">
        <v>171</v>
      </c>
      <c r="B18" s="225"/>
      <c r="C18" s="225"/>
      <c r="D18" s="400" t="s">
        <v>44</v>
      </c>
      <c r="E18" s="211">
        <f>E2</f>
        <v>0.412</v>
      </c>
      <c r="F18" s="121">
        <v>260</v>
      </c>
      <c r="G18" s="120">
        <f t="shared" si="1"/>
        <v>107.11999999999999</v>
      </c>
      <c r="H18" s="233">
        <v>333</v>
      </c>
      <c r="I18" s="120">
        <f t="shared" si="2"/>
        <v>137.196</v>
      </c>
      <c r="J18" s="37">
        <v>440</v>
      </c>
      <c r="K18" s="38">
        <f t="shared" si="3"/>
        <v>181.28</v>
      </c>
      <c r="L18" s="381" t="s">
        <v>79</v>
      </c>
      <c r="M18" s="211">
        <f>E10</f>
        <v>0.265</v>
      </c>
      <c r="N18" s="86">
        <v>0</v>
      </c>
      <c r="O18" s="87">
        <f t="shared" si="4"/>
        <v>0</v>
      </c>
      <c r="P18" s="233">
        <v>500</v>
      </c>
      <c r="Q18" s="87">
        <f aca="true" t="shared" si="7" ref="Q18:Q25">M18*P18</f>
        <v>132.5</v>
      </c>
      <c r="R18" s="373">
        <v>0</v>
      </c>
      <c r="S18" s="263">
        <f aca="true" t="shared" si="8" ref="S18:S25">M18*R18</f>
        <v>0</v>
      </c>
      <c r="T18" s="373">
        <v>0</v>
      </c>
      <c r="U18" s="263">
        <f t="shared" si="5"/>
        <v>0</v>
      </c>
      <c r="V18" s="541" t="s">
        <v>117</v>
      </c>
      <c r="W18" s="541">
        <v>187</v>
      </c>
      <c r="X18" s="542">
        <v>0</v>
      </c>
      <c r="Y18" s="541">
        <v>220</v>
      </c>
      <c r="Z18" s="542">
        <v>93</v>
      </c>
      <c r="AA18" s="542">
        <v>23</v>
      </c>
      <c r="AB18" s="542">
        <f>0.65*58</f>
        <v>37.7</v>
      </c>
      <c r="AC18" s="542">
        <f t="shared" si="6"/>
        <v>560.7</v>
      </c>
      <c r="AD18" s="61">
        <v>141</v>
      </c>
      <c r="AE18" s="52">
        <f t="shared" si="0"/>
        <v>701.7</v>
      </c>
    </row>
    <row r="19" spans="1:31" ht="18.75" customHeight="1">
      <c r="A19" s="495" t="s">
        <v>47</v>
      </c>
      <c r="B19" s="225"/>
      <c r="C19" s="225"/>
      <c r="D19" s="400" t="s">
        <v>48</v>
      </c>
      <c r="E19" s="208">
        <v>44</v>
      </c>
      <c r="F19" s="121">
        <v>0</v>
      </c>
      <c r="G19" s="120">
        <f t="shared" si="1"/>
        <v>0</v>
      </c>
      <c r="H19" s="122">
        <v>0.25</v>
      </c>
      <c r="I19" s="120">
        <f t="shared" si="2"/>
        <v>11</v>
      </c>
      <c r="J19" s="37">
        <v>0.5</v>
      </c>
      <c r="K19" s="38">
        <f t="shared" si="3"/>
        <v>22</v>
      </c>
      <c r="L19" s="381"/>
      <c r="M19" s="207">
        <v>44</v>
      </c>
      <c r="N19" s="100">
        <v>0</v>
      </c>
      <c r="O19" s="87">
        <f t="shared" si="4"/>
        <v>0</v>
      </c>
      <c r="P19" s="91">
        <v>0.25</v>
      </c>
      <c r="Q19" s="87">
        <f t="shared" si="7"/>
        <v>11</v>
      </c>
      <c r="R19" s="264">
        <v>0.25</v>
      </c>
      <c r="S19" s="263">
        <f t="shared" si="8"/>
        <v>11</v>
      </c>
      <c r="T19" s="264">
        <v>0.25</v>
      </c>
      <c r="U19" s="263">
        <f t="shared" si="5"/>
        <v>11</v>
      </c>
      <c r="V19" s="543" t="s">
        <v>118</v>
      </c>
      <c r="W19" s="543">
        <v>187</v>
      </c>
      <c r="X19" s="544">
        <v>0</v>
      </c>
      <c r="Y19" s="543">
        <v>220</v>
      </c>
      <c r="Z19" s="544">
        <v>93</v>
      </c>
      <c r="AA19" s="544">
        <v>23</v>
      </c>
      <c r="AB19" s="542">
        <f>0.65*230</f>
        <v>149.5</v>
      </c>
      <c r="AC19" s="544">
        <f t="shared" si="6"/>
        <v>672.5</v>
      </c>
      <c r="AD19" s="61">
        <v>141</v>
      </c>
      <c r="AE19" s="52">
        <f t="shared" si="0"/>
        <v>813.5</v>
      </c>
    </row>
    <row r="20" spans="1:31" ht="18.75" customHeight="1">
      <c r="A20" s="500" t="s">
        <v>94</v>
      </c>
      <c r="B20" s="225"/>
      <c r="C20" s="225"/>
      <c r="D20" s="400" t="s">
        <v>11</v>
      </c>
      <c r="E20" s="208">
        <v>43</v>
      </c>
      <c r="F20" s="122">
        <v>1</v>
      </c>
      <c r="G20" s="120">
        <f t="shared" si="1"/>
        <v>43</v>
      </c>
      <c r="H20" s="122">
        <v>1</v>
      </c>
      <c r="I20" s="120">
        <f t="shared" si="2"/>
        <v>43</v>
      </c>
      <c r="J20" s="37">
        <v>1</v>
      </c>
      <c r="K20" s="38">
        <f t="shared" si="3"/>
        <v>43</v>
      </c>
      <c r="L20" s="381" t="s">
        <v>81</v>
      </c>
      <c r="M20" s="208">
        <v>0</v>
      </c>
      <c r="N20" s="88">
        <v>0</v>
      </c>
      <c r="O20" s="87">
        <f t="shared" si="4"/>
        <v>0</v>
      </c>
      <c r="P20" s="88">
        <v>0</v>
      </c>
      <c r="Q20" s="87">
        <f t="shared" si="7"/>
        <v>0</v>
      </c>
      <c r="R20" s="265">
        <v>0</v>
      </c>
      <c r="S20" s="263">
        <f t="shared" si="8"/>
        <v>0</v>
      </c>
      <c r="T20" s="265">
        <v>0</v>
      </c>
      <c r="U20" s="263">
        <f t="shared" si="5"/>
        <v>0</v>
      </c>
      <c r="V20" s="539" t="s">
        <v>119</v>
      </c>
      <c r="W20" s="539">
        <v>187</v>
      </c>
      <c r="X20" s="545">
        <f>91.5*0.875463</f>
        <v>80.1048645</v>
      </c>
      <c r="Y20" s="539">
        <v>220</v>
      </c>
      <c r="Z20" s="540">
        <v>93</v>
      </c>
      <c r="AA20" s="540">
        <v>23</v>
      </c>
      <c r="AB20" s="540">
        <f>0.65*184</f>
        <v>119.60000000000001</v>
      </c>
      <c r="AC20" s="540">
        <f t="shared" si="6"/>
        <v>722.7048645000001</v>
      </c>
      <c r="AD20" s="61">
        <v>141</v>
      </c>
      <c r="AE20" s="52">
        <f t="shared" si="0"/>
        <v>863.7048645000001</v>
      </c>
    </row>
    <row r="21" spans="1:31" ht="18.75" customHeight="1">
      <c r="A21" s="500" t="s">
        <v>94</v>
      </c>
      <c r="B21" s="225"/>
      <c r="C21" s="225"/>
      <c r="D21" s="400" t="s">
        <v>11</v>
      </c>
      <c r="E21" s="208">
        <v>0</v>
      </c>
      <c r="F21" s="122">
        <v>1</v>
      </c>
      <c r="G21" s="120">
        <f>E21*F21</f>
        <v>0</v>
      </c>
      <c r="H21" s="122">
        <v>1</v>
      </c>
      <c r="I21" s="120">
        <f>E21*H21</f>
        <v>0</v>
      </c>
      <c r="J21" s="37">
        <v>1</v>
      </c>
      <c r="K21" s="38">
        <f>E21*J21</f>
        <v>0</v>
      </c>
      <c r="L21" s="381" t="s">
        <v>80</v>
      </c>
      <c r="M21" s="210">
        <v>7.5</v>
      </c>
      <c r="N21" s="100">
        <v>1</v>
      </c>
      <c r="O21" s="87">
        <f t="shared" si="4"/>
        <v>7.5</v>
      </c>
      <c r="P21" s="91">
        <v>1</v>
      </c>
      <c r="Q21" s="87">
        <f t="shared" si="7"/>
        <v>7.5</v>
      </c>
      <c r="R21" s="264">
        <v>1</v>
      </c>
      <c r="S21" s="263">
        <f t="shared" si="8"/>
        <v>7.5</v>
      </c>
      <c r="T21" s="264">
        <v>1</v>
      </c>
      <c r="U21" s="263">
        <f t="shared" si="5"/>
        <v>7.5</v>
      </c>
      <c r="V21" s="541" t="s">
        <v>120</v>
      </c>
      <c r="W21" s="541">
        <v>187</v>
      </c>
      <c r="X21" s="542">
        <v>0</v>
      </c>
      <c r="Y21" s="541">
        <v>220</v>
      </c>
      <c r="Z21" s="542">
        <v>93</v>
      </c>
      <c r="AA21" s="542">
        <v>23</v>
      </c>
      <c r="AB21" s="542">
        <f>0.65*184</f>
        <v>119.60000000000001</v>
      </c>
      <c r="AC21" s="542">
        <f t="shared" si="6"/>
        <v>642.6</v>
      </c>
      <c r="AD21" s="61">
        <v>141</v>
      </c>
      <c r="AE21" s="52">
        <f t="shared" si="0"/>
        <v>783.6</v>
      </c>
    </row>
    <row r="22" spans="1:31" ht="18.75" customHeight="1">
      <c r="A22" s="495" t="s">
        <v>49</v>
      </c>
      <c r="B22" s="225"/>
      <c r="C22" s="225"/>
      <c r="D22" s="400" t="s">
        <v>50</v>
      </c>
      <c r="E22" s="232">
        <v>7.3</v>
      </c>
      <c r="F22" s="121">
        <v>8</v>
      </c>
      <c r="G22" s="120">
        <f t="shared" si="1"/>
        <v>58.4</v>
      </c>
      <c r="H22" s="122">
        <v>8</v>
      </c>
      <c r="I22" s="120">
        <f t="shared" si="2"/>
        <v>58.4</v>
      </c>
      <c r="J22" s="37">
        <v>8</v>
      </c>
      <c r="K22" s="38">
        <f t="shared" si="3"/>
        <v>58.4</v>
      </c>
      <c r="L22" s="381"/>
      <c r="M22" s="232">
        <v>7.3</v>
      </c>
      <c r="N22" s="86">
        <v>8</v>
      </c>
      <c r="O22" s="87">
        <f t="shared" si="4"/>
        <v>58.4</v>
      </c>
      <c r="P22" s="88">
        <v>9</v>
      </c>
      <c r="Q22" s="87">
        <f t="shared" si="7"/>
        <v>65.7</v>
      </c>
      <c r="R22" s="265">
        <v>9</v>
      </c>
      <c r="S22" s="263">
        <f t="shared" si="8"/>
        <v>65.7</v>
      </c>
      <c r="T22" s="265">
        <v>9</v>
      </c>
      <c r="U22" s="263">
        <f t="shared" si="5"/>
        <v>65.7</v>
      </c>
      <c r="V22" s="543" t="s">
        <v>121</v>
      </c>
      <c r="W22" s="543">
        <v>187</v>
      </c>
      <c r="X22" s="544">
        <f>91.5*0.875463</f>
        <v>80.1048645</v>
      </c>
      <c r="Y22" s="543">
        <v>220</v>
      </c>
      <c r="Z22" s="544">
        <v>93</v>
      </c>
      <c r="AA22" s="544">
        <v>23</v>
      </c>
      <c r="AB22" s="544">
        <f>0.65*184</f>
        <v>119.60000000000001</v>
      </c>
      <c r="AC22" s="544">
        <f t="shared" si="6"/>
        <v>722.7048645000001</v>
      </c>
      <c r="AD22" s="61">
        <v>141</v>
      </c>
      <c r="AE22" s="52">
        <f t="shared" si="0"/>
        <v>863.7048645000001</v>
      </c>
    </row>
    <row r="23" spans="1:31" ht="18.75" customHeight="1">
      <c r="A23" s="495" t="s">
        <v>51</v>
      </c>
      <c r="B23" s="225"/>
      <c r="C23" s="225"/>
      <c r="D23" s="400" t="s">
        <v>50</v>
      </c>
      <c r="E23" s="232">
        <v>7.3</v>
      </c>
      <c r="F23" s="121">
        <v>1.4</v>
      </c>
      <c r="G23" s="120">
        <f t="shared" si="1"/>
        <v>10.219999999999999</v>
      </c>
      <c r="H23" s="122">
        <v>1.4</v>
      </c>
      <c r="I23" s="120">
        <f t="shared" si="2"/>
        <v>10.219999999999999</v>
      </c>
      <c r="J23" s="37">
        <v>1.4</v>
      </c>
      <c r="K23" s="38">
        <f t="shared" si="3"/>
        <v>10.219999999999999</v>
      </c>
      <c r="L23" s="381"/>
      <c r="M23" s="232">
        <v>7.3</v>
      </c>
      <c r="N23" s="86">
        <v>1.4</v>
      </c>
      <c r="O23" s="87">
        <f t="shared" si="4"/>
        <v>10.219999999999999</v>
      </c>
      <c r="P23" s="88">
        <v>1.4</v>
      </c>
      <c r="Q23" s="87">
        <f t="shared" si="7"/>
        <v>10.219999999999999</v>
      </c>
      <c r="R23" s="265">
        <v>1.4</v>
      </c>
      <c r="S23" s="263">
        <f t="shared" si="8"/>
        <v>10.219999999999999</v>
      </c>
      <c r="T23" s="265">
        <v>1.4</v>
      </c>
      <c r="U23" s="263">
        <f t="shared" si="5"/>
        <v>10.219999999999999</v>
      </c>
      <c r="V23" s="539" t="s">
        <v>122</v>
      </c>
      <c r="W23" s="540">
        <f>186.95+(30*0.17*14.57*0.875463)</f>
        <v>252.00302914099998</v>
      </c>
      <c r="X23" s="540">
        <f>560*0.875463</f>
        <v>490.25928</v>
      </c>
      <c r="Y23" s="539">
        <v>220</v>
      </c>
      <c r="Z23" s="540">
        <v>93</v>
      </c>
      <c r="AA23" s="540">
        <v>23</v>
      </c>
      <c r="AB23" s="540">
        <f>0.65*204</f>
        <v>132.6</v>
      </c>
      <c r="AC23" s="540">
        <f t="shared" si="6"/>
        <v>1210.862309141</v>
      </c>
      <c r="AD23" s="61">
        <v>141</v>
      </c>
      <c r="AE23" s="52">
        <f t="shared" si="0"/>
        <v>1351.862309141</v>
      </c>
    </row>
    <row r="24" spans="1:31" ht="18.75" customHeight="1">
      <c r="A24" s="495" t="s">
        <v>52</v>
      </c>
      <c r="B24" s="225"/>
      <c r="C24" s="225"/>
      <c r="D24" s="400" t="s">
        <v>44</v>
      </c>
      <c r="E24" s="211">
        <v>0.011</v>
      </c>
      <c r="F24" s="122">
        <f>F14</f>
        <v>3000</v>
      </c>
      <c r="G24" s="120">
        <f t="shared" si="1"/>
        <v>33</v>
      </c>
      <c r="H24" s="122">
        <f>H14</f>
        <v>3500</v>
      </c>
      <c r="I24" s="120">
        <f t="shared" si="2"/>
        <v>38.5</v>
      </c>
      <c r="J24" s="37">
        <f>J14</f>
        <v>5000</v>
      </c>
      <c r="K24" s="38">
        <f t="shared" si="3"/>
        <v>55</v>
      </c>
      <c r="L24" s="381"/>
      <c r="M24" s="211">
        <v>0.011</v>
      </c>
      <c r="N24" s="88">
        <f>N14</f>
        <v>2000</v>
      </c>
      <c r="O24" s="87">
        <f t="shared" si="4"/>
        <v>22</v>
      </c>
      <c r="P24" s="88">
        <f>P14</f>
        <v>3000</v>
      </c>
      <c r="Q24" s="87">
        <f t="shared" si="7"/>
        <v>33</v>
      </c>
      <c r="R24" s="265">
        <f>R14</f>
        <v>2000</v>
      </c>
      <c r="S24" s="263">
        <f t="shared" si="8"/>
        <v>22</v>
      </c>
      <c r="T24" s="265">
        <f>T14</f>
        <v>2000</v>
      </c>
      <c r="U24" s="263">
        <f t="shared" si="5"/>
        <v>22</v>
      </c>
      <c r="V24" s="541" t="s">
        <v>123</v>
      </c>
      <c r="W24" s="541">
        <v>187</v>
      </c>
      <c r="X24" s="542">
        <v>0</v>
      </c>
      <c r="Y24" s="541">
        <v>220</v>
      </c>
      <c r="Z24" s="542">
        <v>93</v>
      </c>
      <c r="AA24" s="542">
        <v>23</v>
      </c>
      <c r="AB24" s="542">
        <v>0</v>
      </c>
      <c r="AC24" s="542">
        <f t="shared" si="6"/>
        <v>523</v>
      </c>
      <c r="AD24" s="61">
        <v>141</v>
      </c>
      <c r="AE24" s="52">
        <f t="shared" si="0"/>
        <v>664</v>
      </c>
    </row>
    <row r="25" spans="1:31" ht="18.75" customHeight="1">
      <c r="A25" s="495" t="s">
        <v>53</v>
      </c>
      <c r="B25" s="225"/>
      <c r="C25" s="225"/>
      <c r="D25" s="400" t="s">
        <v>44</v>
      </c>
      <c r="E25" s="211">
        <v>0.015</v>
      </c>
      <c r="F25" s="121">
        <f>+F14-F16</f>
        <v>2795</v>
      </c>
      <c r="G25" s="120">
        <f t="shared" si="1"/>
        <v>41.925</v>
      </c>
      <c r="H25" s="121">
        <f>+H14-H16</f>
        <v>3295</v>
      </c>
      <c r="I25" s="120">
        <f t="shared" si="2"/>
        <v>49.425</v>
      </c>
      <c r="J25" s="36">
        <f>+J14-J16</f>
        <v>4795</v>
      </c>
      <c r="K25" s="38">
        <f t="shared" si="3"/>
        <v>71.925</v>
      </c>
      <c r="L25" s="381"/>
      <c r="M25" s="211">
        <v>0.015</v>
      </c>
      <c r="N25" s="86">
        <f>+N14-N16</f>
        <v>1795</v>
      </c>
      <c r="O25" s="87">
        <f t="shared" si="4"/>
        <v>26.925</v>
      </c>
      <c r="P25" s="86">
        <f>+P14-P16</f>
        <v>2780</v>
      </c>
      <c r="Q25" s="87">
        <f t="shared" si="7"/>
        <v>41.699999999999996</v>
      </c>
      <c r="R25" s="261">
        <f>+R14-R16</f>
        <v>1795</v>
      </c>
      <c r="S25" s="263">
        <f t="shared" si="8"/>
        <v>26.925</v>
      </c>
      <c r="T25" s="261">
        <f>+T14-T16</f>
        <v>1795</v>
      </c>
      <c r="U25" s="263">
        <f t="shared" si="5"/>
        <v>26.925</v>
      </c>
      <c r="V25" s="543" t="s">
        <v>124</v>
      </c>
      <c r="W25" s="543">
        <v>187</v>
      </c>
      <c r="X25" s="544">
        <v>0</v>
      </c>
      <c r="Y25" s="543">
        <v>220</v>
      </c>
      <c r="Z25" s="544">
        <v>93</v>
      </c>
      <c r="AA25" s="544">
        <v>23</v>
      </c>
      <c r="AB25" s="544">
        <v>0</v>
      </c>
      <c r="AC25" s="544">
        <f t="shared" si="6"/>
        <v>523</v>
      </c>
      <c r="AD25" s="61">
        <v>141</v>
      </c>
      <c r="AE25" s="52">
        <f t="shared" si="0"/>
        <v>664</v>
      </c>
    </row>
    <row r="26" spans="1:31" ht="18.75" customHeight="1">
      <c r="A26" s="495" t="s">
        <v>54</v>
      </c>
      <c r="B26" s="225"/>
      <c r="C26" s="225"/>
      <c r="D26" s="400" t="s">
        <v>55</v>
      </c>
      <c r="E26" s="118">
        <v>0.5</v>
      </c>
      <c r="F26" s="124">
        <f>(SUM(G15:G25)+167)</f>
        <v>528.315</v>
      </c>
      <c r="G26" s="120"/>
      <c r="H26" s="125">
        <f>(SUM(I15:I25)+167)</f>
        <v>582.3910000000001</v>
      </c>
      <c r="I26" s="120"/>
      <c r="J26" s="39">
        <f>(SUM(K15:K25)+167)</f>
        <v>676.4749999999999</v>
      </c>
      <c r="K26" s="38"/>
      <c r="L26" s="381"/>
      <c r="M26" s="84">
        <v>0.5</v>
      </c>
      <c r="N26" s="92">
        <f>(SUM(O15:O25)+167)</f>
        <v>380.19500000000005</v>
      </c>
      <c r="O26" s="87"/>
      <c r="P26" s="93">
        <f>(SUM(Q15:Q25)+167)</f>
        <v>563.22</v>
      </c>
      <c r="Q26" s="87"/>
      <c r="R26" s="266">
        <f>(SUM(S15:S25)+167)</f>
        <v>398.495</v>
      </c>
      <c r="S26" s="263"/>
      <c r="T26" s="266">
        <f>(SUM(U15:U25)+167)</f>
        <v>398.495</v>
      </c>
      <c r="U26" s="263"/>
      <c r="V26" s="546" t="s">
        <v>134</v>
      </c>
      <c r="W26" s="547">
        <f>187+404</f>
        <v>591</v>
      </c>
      <c r="X26" s="548">
        <v>0</v>
      </c>
      <c r="Y26" s="546">
        <v>220</v>
      </c>
      <c r="Z26" s="548">
        <v>93</v>
      </c>
      <c r="AA26" s="548">
        <v>23</v>
      </c>
      <c r="AB26" s="548">
        <f>350+(0.65*154)</f>
        <v>450.1</v>
      </c>
      <c r="AC26" s="540">
        <f t="shared" si="6"/>
        <v>1377.1</v>
      </c>
      <c r="AD26" s="61">
        <v>141</v>
      </c>
      <c r="AE26" s="52">
        <f t="shared" si="0"/>
        <v>1518.1</v>
      </c>
    </row>
    <row r="27" spans="1:31" ht="18.75" customHeight="1" thickBot="1">
      <c r="A27" s="495" t="s">
        <v>56</v>
      </c>
      <c r="B27" s="225"/>
      <c r="C27" s="225"/>
      <c r="D27" s="400" t="s">
        <v>55</v>
      </c>
      <c r="E27" s="130">
        <v>0.05</v>
      </c>
      <c r="F27" s="124">
        <f>+E26*F26</f>
        <v>264.1575</v>
      </c>
      <c r="G27" s="120">
        <f>E27*F27</f>
        <v>13.207875000000001</v>
      </c>
      <c r="H27" s="125">
        <f>+E26*H26</f>
        <v>291.19550000000004</v>
      </c>
      <c r="I27" s="120">
        <f>E27*H27</f>
        <v>14.559775000000002</v>
      </c>
      <c r="J27" s="39">
        <f>+E26*J26</f>
        <v>338.23749999999995</v>
      </c>
      <c r="K27" s="38">
        <f>E27*J27</f>
        <v>16.911875</v>
      </c>
      <c r="L27" s="381"/>
      <c r="M27" s="98">
        <v>0.05</v>
      </c>
      <c r="N27" s="92">
        <f>+M26*N26</f>
        <v>190.09750000000003</v>
      </c>
      <c r="O27" s="87">
        <f>M27*N27</f>
        <v>9.504875000000002</v>
      </c>
      <c r="P27" s="93">
        <f>+M26*P26</f>
        <v>281.61</v>
      </c>
      <c r="Q27" s="87">
        <f>M27*P27</f>
        <v>14.0805</v>
      </c>
      <c r="R27" s="266">
        <f>+M26*R26</f>
        <v>199.2475</v>
      </c>
      <c r="S27" s="263">
        <f>M27*R27</f>
        <v>9.962375000000002</v>
      </c>
      <c r="T27" s="266">
        <f>+M26*T26</f>
        <v>199.2475</v>
      </c>
      <c r="U27" s="263">
        <f>M27*T27</f>
        <v>9.962375000000002</v>
      </c>
      <c r="V27" s="546" t="s">
        <v>135</v>
      </c>
      <c r="W27" s="546">
        <v>187</v>
      </c>
      <c r="X27" s="548">
        <v>0</v>
      </c>
      <c r="Y27" s="546">
        <v>220</v>
      </c>
      <c r="Z27" s="548">
        <v>93</v>
      </c>
      <c r="AA27" s="548">
        <v>23</v>
      </c>
      <c r="AB27" s="548">
        <v>0</v>
      </c>
      <c r="AC27" s="548">
        <f t="shared" si="6"/>
        <v>523</v>
      </c>
      <c r="AD27" s="61">
        <v>141</v>
      </c>
      <c r="AE27" s="52">
        <f t="shared" si="0"/>
        <v>664</v>
      </c>
    </row>
    <row r="28" spans="1:31" ht="18.75" customHeight="1" thickBot="1">
      <c r="A28" s="168" t="s">
        <v>160</v>
      </c>
      <c r="B28" s="223"/>
      <c r="C28" s="223"/>
      <c r="D28" s="401"/>
      <c r="E28" s="152"/>
      <c r="F28" s="256"/>
      <c r="G28" s="257">
        <f>SUM(G15:G27)</f>
        <v>374.522875</v>
      </c>
      <c r="H28" s="154"/>
      <c r="I28" s="153">
        <f>SUM(I15:I27)</f>
        <v>429.950775</v>
      </c>
      <c r="J28" s="155"/>
      <c r="K28" s="258">
        <f>SUM(K15:K27)</f>
        <v>526.3868749999999</v>
      </c>
      <c r="L28" s="382"/>
      <c r="M28" s="156"/>
      <c r="N28" s="259"/>
      <c r="O28" s="260">
        <f>SUM(O15:O27)</f>
        <v>222.69987500000002</v>
      </c>
      <c r="P28" s="158"/>
      <c r="Q28" s="157">
        <f>SUM(Q15:Q27)</f>
        <v>410.30049999999994</v>
      </c>
      <c r="R28" s="267"/>
      <c r="S28" s="262">
        <f>SUM(S15:S27)</f>
        <v>241.45737500000004</v>
      </c>
      <c r="T28" s="267"/>
      <c r="U28" s="262">
        <f>SUM(U15:U27)</f>
        <v>241.45737500000004</v>
      </c>
      <c r="V28" s="549" t="s">
        <v>125</v>
      </c>
      <c r="W28" s="549">
        <v>187</v>
      </c>
      <c r="X28" s="550">
        <v>0</v>
      </c>
      <c r="Y28" s="549">
        <v>220</v>
      </c>
      <c r="Z28" s="550">
        <v>93</v>
      </c>
      <c r="AA28" s="550">
        <v>23</v>
      </c>
      <c r="AB28" s="550">
        <v>0</v>
      </c>
      <c r="AC28" s="550">
        <f t="shared" si="6"/>
        <v>523</v>
      </c>
      <c r="AD28" s="61">
        <v>141</v>
      </c>
      <c r="AE28" s="52">
        <f t="shared" si="0"/>
        <v>664</v>
      </c>
    </row>
    <row r="29" spans="1:33" s="35" customFormat="1" ht="18.75" customHeight="1" thickBot="1">
      <c r="A29" s="228"/>
      <c r="B29" s="225"/>
      <c r="C29" s="225"/>
      <c r="D29" s="398" t="s">
        <v>39</v>
      </c>
      <c r="E29" s="162" t="s">
        <v>40</v>
      </c>
      <c r="F29" s="163" t="s">
        <v>41</v>
      </c>
      <c r="G29" s="164" t="s">
        <v>42</v>
      </c>
      <c r="H29" s="165" t="s">
        <v>43</v>
      </c>
      <c r="I29" s="164" t="s">
        <v>42</v>
      </c>
      <c r="J29" s="166" t="s">
        <v>41</v>
      </c>
      <c r="K29" s="366" t="s">
        <v>42</v>
      </c>
      <c r="L29" s="379"/>
      <c r="M29" s="162" t="s">
        <v>40</v>
      </c>
      <c r="N29" s="163" t="s">
        <v>41</v>
      </c>
      <c r="O29" s="164" t="s">
        <v>42</v>
      </c>
      <c r="P29" s="165" t="s">
        <v>43</v>
      </c>
      <c r="Q29" s="63" t="s">
        <v>42</v>
      </c>
      <c r="R29" s="65" t="s">
        <v>41</v>
      </c>
      <c r="S29" s="66" t="s">
        <v>42</v>
      </c>
      <c r="T29" s="65" t="s">
        <v>41</v>
      </c>
      <c r="U29" s="66" t="s">
        <v>42</v>
      </c>
      <c r="V29" s="543" t="s">
        <v>126</v>
      </c>
      <c r="W29" s="543">
        <v>187</v>
      </c>
      <c r="X29" s="544">
        <v>0</v>
      </c>
      <c r="Y29" s="543">
        <v>220</v>
      </c>
      <c r="Z29" s="544">
        <v>93</v>
      </c>
      <c r="AA29" s="544">
        <v>23</v>
      </c>
      <c r="AB29" s="544">
        <v>0</v>
      </c>
      <c r="AC29" s="544">
        <f t="shared" si="6"/>
        <v>523</v>
      </c>
      <c r="AD29" s="61">
        <v>141</v>
      </c>
      <c r="AE29" s="52">
        <f t="shared" si="0"/>
        <v>664</v>
      </c>
      <c r="AF29" s="50"/>
      <c r="AG29" s="50"/>
    </row>
    <row r="30" spans="1:31" ht="18.75" customHeight="1" thickBot="1">
      <c r="A30" s="169" t="s">
        <v>57</v>
      </c>
      <c r="B30" s="222"/>
      <c r="C30" s="222"/>
      <c r="D30" s="402" t="s">
        <v>44</v>
      </c>
      <c r="E30" s="286"/>
      <c r="F30" s="287">
        <v>3000</v>
      </c>
      <c r="G30" s="254"/>
      <c r="H30" s="150">
        <f>'C1-alue'!D8</f>
        <v>3000</v>
      </c>
      <c r="I30" s="151"/>
      <c r="J30" s="150">
        <v>4000</v>
      </c>
      <c r="K30" s="288"/>
      <c r="L30" s="383"/>
      <c r="M30" s="253"/>
      <c r="N30" s="287">
        <v>2000</v>
      </c>
      <c r="O30" s="254"/>
      <c r="P30" s="150">
        <v>3000</v>
      </c>
      <c r="Q30" s="384"/>
      <c r="R30" s="289">
        <v>2000</v>
      </c>
      <c r="S30" s="255"/>
      <c r="T30" s="289">
        <v>2000</v>
      </c>
      <c r="U30" s="255"/>
      <c r="V30" s="546" t="s">
        <v>136</v>
      </c>
      <c r="W30" s="541">
        <v>187</v>
      </c>
      <c r="X30" s="546">
        <v>0</v>
      </c>
      <c r="Y30" s="548">
        <v>300</v>
      </c>
      <c r="Z30" s="548">
        <v>107</v>
      </c>
      <c r="AA30" s="548">
        <v>23</v>
      </c>
      <c r="AB30" s="548">
        <v>0</v>
      </c>
      <c r="AC30" s="540">
        <f t="shared" si="6"/>
        <v>617</v>
      </c>
      <c r="AD30" s="61">
        <v>141</v>
      </c>
      <c r="AE30" s="52">
        <f t="shared" si="0"/>
        <v>758</v>
      </c>
    </row>
    <row r="31" spans="1:31" ht="18.75" customHeight="1">
      <c r="A31" s="496" t="s">
        <v>33</v>
      </c>
      <c r="B31" s="225"/>
      <c r="C31" s="225"/>
      <c r="D31" s="403"/>
      <c r="E31" s="130"/>
      <c r="F31" s="131"/>
      <c r="G31" s="132"/>
      <c r="H31" s="133"/>
      <c r="I31" s="132"/>
      <c r="J31" s="40"/>
      <c r="K31" s="44"/>
      <c r="L31" s="381"/>
      <c r="M31" s="84"/>
      <c r="N31" s="85"/>
      <c r="O31" s="87"/>
      <c r="P31" s="86"/>
      <c r="Q31" s="87"/>
      <c r="R31" s="261"/>
      <c r="S31" s="263"/>
      <c r="T31" s="261"/>
      <c r="U31" s="263"/>
      <c r="V31" s="539" t="s">
        <v>127</v>
      </c>
      <c r="W31" s="539">
        <v>187</v>
      </c>
      <c r="X31" s="539">
        <v>0</v>
      </c>
      <c r="Y31" s="539">
        <v>220</v>
      </c>
      <c r="Z31" s="540">
        <v>450</v>
      </c>
      <c r="AA31" s="540">
        <v>144</v>
      </c>
      <c r="AB31" s="540">
        <f>0.65*535</f>
        <v>347.75</v>
      </c>
      <c r="AC31" s="540">
        <f t="shared" si="6"/>
        <v>1348.75</v>
      </c>
      <c r="AD31" s="61">
        <v>141</v>
      </c>
      <c r="AE31" s="52">
        <f t="shared" si="0"/>
        <v>1489.75</v>
      </c>
    </row>
    <row r="32" spans="1:31" ht="18.75" customHeight="1">
      <c r="A32" s="495" t="s">
        <v>45</v>
      </c>
      <c r="B32" s="225"/>
      <c r="C32" s="225"/>
      <c r="D32" s="404" t="s">
        <v>44</v>
      </c>
      <c r="E32" s="209">
        <v>0.35</v>
      </c>
      <c r="F32" s="234">
        <v>250</v>
      </c>
      <c r="G32" s="235">
        <f aca="true" t="shared" si="9" ref="G32:G41">E32*F32</f>
        <v>87.5</v>
      </c>
      <c r="H32" s="236">
        <v>250</v>
      </c>
      <c r="I32" s="132">
        <f aca="true" t="shared" si="10" ref="I32:I41">E32*H32</f>
        <v>87.5</v>
      </c>
      <c r="J32" s="40">
        <v>250</v>
      </c>
      <c r="K32" s="44">
        <f aca="true" t="shared" si="11" ref="K32:K41">E32*J32</f>
        <v>87.5</v>
      </c>
      <c r="L32" s="381"/>
      <c r="M32" s="232">
        <v>0.49</v>
      </c>
      <c r="N32" s="86">
        <v>205</v>
      </c>
      <c r="O32" s="87">
        <f aca="true" t="shared" si="12" ref="O32:O41">M32*N32</f>
        <v>100.45</v>
      </c>
      <c r="P32" s="233">
        <v>265</v>
      </c>
      <c r="Q32" s="87">
        <f>M32*P32</f>
        <v>129.85</v>
      </c>
      <c r="R32" s="372">
        <v>205</v>
      </c>
      <c r="S32" s="263">
        <f aca="true" t="shared" si="13" ref="S32:S41">M32*R32</f>
        <v>100.45</v>
      </c>
      <c r="T32" s="372">
        <v>205</v>
      </c>
      <c r="U32" s="263">
        <f aca="true" t="shared" si="14" ref="U32:U43">M32*T32</f>
        <v>100.45</v>
      </c>
      <c r="V32" s="541" t="s">
        <v>128</v>
      </c>
      <c r="W32" s="541">
        <v>187</v>
      </c>
      <c r="X32" s="541">
        <v>0</v>
      </c>
      <c r="Y32" s="541">
        <v>220</v>
      </c>
      <c r="Z32" s="542">
        <v>450</v>
      </c>
      <c r="AA32" s="542">
        <v>144</v>
      </c>
      <c r="AB32" s="542">
        <v>0</v>
      </c>
      <c r="AC32" s="542">
        <f t="shared" si="6"/>
        <v>1001</v>
      </c>
      <c r="AD32" s="61">
        <v>141</v>
      </c>
      <c r="AE32" s="52">
        <f t="shared" si="0"/>
        <v>1142</v>
      </c>
    </row>
    <row r="33" spans="1:31" ht="18.75" customHeight="1">
      <c r="A33" s="495" t="s">
        <v>46</v>
      </c>
      <c r="B33" s="225"/>
      <c r="C33" s="225"/>
      <c r="D33" s="404" t="s">
        <v>44</v>
      </c>
      <c r="E33" s="232">
        <v>0</v>
      </c>
      <c r="F33" s="234">
        <v>0</v>
      </c>
      <c r="G33" s="235">
        <f t="shared" si="9"/>
        <v>0</v>
      </c>
      <c r="H33" s="237">
        <v>0</v>
      </c>
      <c r="I33" s="132">
        <f t="shared" si="10"/>
        <v>0</v>
      </c>
      <c r="J33" s="16">
        <v>0</v>
      </c>
      <c r="K33" s="44">
        <f t="shared" si="11"/>
        <v>0</v>
      </c>
      <c r="L33" s="381"/>
      <c r="M33" s="232">
        <v>0</v>
      </c>
      <c r="N33" s="86">
        <v>0</v>
      </c>
      <c r="O33" s="87">
        <f t="shared" si="12"/>
        <v>0</v>
      </c>
      <c r="P33" s="233">
        <v>0</v>
      </c>
      <c r="Q33" s="87">
        <f>M33*P33</f>
        <v>0</v>
      </c>
      <c r="R33" s="372">
        <v>0</v>
      </c>
      <c r="S33" s="263">
        <f t="shared" si="13"/>
        <v>0</v>
      </c>
      <c r="T33" s="372">
        <v>0</v>
      </c>
      <c r="U33" s="263">
        <f t="shared" si="14"/>
        <v>0</v>
      </c>
      <c r="V33" s="541" t="s">
        <v>129</v>
      </c>
      <c r="W33" s="541">
        <v>187</v>
      </c>
      <c r="X33" s="541">
        <v>0</v>
      </c>
      <c r="Y33" s="541">
        <v>220</v>
      </c>
      <c r="Z33" s="542">
        <v>181</v>
      </c>
      <c r="AA33" s="542">
        <v>144</v>
      </c>
      <c r="AB33" s="542">
        <v>0</v>
      </c>
      <c r="AC33" s="542">
        <f t="shared" si="6"/>
        <v>732</v>
      </c>
      <c r="AD33" s="61">
        <v>141</v>
      </c>
      <c r="AE33" s="52">
        <f t="shared" si="0"/>
        <v>873</v>
      </c>
    </row>
    <row r="34" spans="1:31" ht="18.75" customHeight="1">
      <c r="A34" s="526" t="s">
        <v>171</v>
      </c>
      <c r="B34" s="225"/>
      <c r="C34" s="225"/>
      <c r="D34" s="404" t="s">
        <v>44</v>
      </c>
      <c r="E34" s="211">
        <f>E2</f>
        <v>0.412</v>
      </c>
      <c r="F34" s="234">
        <v>300</v>
      </c>
      <c r="G34" s="238">
        <f t="shared" si="9"/>
        <v>123.6</v>
      </c>
      <c r="H34" s="237">
        <v>296</v>
      </c>
      <c r="I34" s="132">
        <f t="shared" si="10"/>
        <v>121.952</v>
      </c>
      <c r="J34" s="16">
        <v>480</v>
      </c>
      <c r="K34" s="44">
        <f t="shared" si="11"/>
        <v>197.76</v>
      </c>
      <c r="L34" s="381" t="s">
        <v>79</v>
      </c>
      <c r="M34" s="211">
        <f>E10</f>
        <v>0.265</v>
      </c>
      <c r="N34" s="86">
        <v>0</v>
      </c>
      <c r="O34" s="87">
        <f t="shared" si="12"/>
        <v>0</v>
      </c>
      <c r="P34" s="233">
        <v>500</v>
      </c>
      <c r="Q34" s="87">
        <f aca="true" t="shared" si="15" ref="Q34:Q41">M34*P34</f>
        <v>132.5</v>
      </c>
      <c r="R34" s="373">
        <v>0</v>
      </c>
      <c r="S34" s="263">
        <f t="shared" si="13"/>
        <v>0</v>
      </c>
      <c r="T34" s="373">
        <v>0</v>
      </c>
      <c r="U34" s="263">
        <f t="shared" si="14"/>
        <v>0</v>
      </c>
      <c r="V34" s="541" t="s">
        <v>130</v>
      </c>
      <c r="W34" s="541">
        <v>187</v>
      </c>
      <c r="X34" s="541">
        <v>0</v>
      </c>
      <c r="Y34" s="541">
        <v>220</v>
      </c>
      <c r="Z34" s="542">
        <v>438</v>
      </c>
      <c r="AA34" s="542">
        <v>400</v>
      </c>
      <c r="AB34" s="542">
        <v>0</v>
      </c>
      <c r="AC34" s="542">
        <f t="shared" si="6"/>
        <v>1245</v>
      </c>
      <c r="AD34" s="61">
        <v>141</v>
      </c>
      <c r="AE34" s="52">
        <f t="shared" si="0"/>
        <v>1386</v>
      </c>
    </row>
    <row r="35" spans="1:31" ht="18.75" customHeight="1">
      <c r="A35" s="495" t="s">
        <v>47</v>
      </c>
      <c r="B35" s="225"/>
      <c r="C35" s="225"/>
      <c r="D35" s="404" t="s">
        <v>58</v>
      </c>
      <c r="E35" s="208">
        <v>44</v>
      </c>
      <c r="F35" s="133">
        <v>0</v>
      </c>
      <c r="G35" s="132">
        <f t="shared" si="9"/>
        <v>0</v>
      </c>
      <c r="H35" s="134">
        <v>0.25</v>
      </c>
      <c r="I35" s="132">
        <f t="shared" si="10"/>
        <v>11</v>
      </c>
      <c r="J35" s="16">
        <v>0.5</v>
      </c>
      <c r="K35" s="44">
        <f t="shared" si="11"/>
        <v>22</v>
      </c>
      <c r="L35" s="381"/>
      <c r="M35" s="207">
        <v>44</v>
      </c>
      <c r="N35" s="100">
        <v>0</v>
      </c>
      <c r="O35" s="87">
        <f t="shared" si="12"/>
        <v>0</v>
      </c>
      <c r="P35" s="91">
        <v>0.25</v>
      </c>
      <c r="Q35" s="87">
        <f t="shared" si="15"/>
        <v>11</v>
      </c>
      <c r="R35" s="264">
        <v>0.25</v>
      </c>
      <c r="S35" s="263">
        <f t="shared" si="13"/>
        <v>11</v>
      </c>
      <c r="T35" s="264">
        <v>0.25</v>
      </c>
      <c r="U35" s="263">
        <f t="shared" si="14"/>
        <v>11</v>
      </c>
      <c r="V35" s="551" t="s">
        <v>182</v>
      </c>
      <c r="W35" s="543">
        <v>187</v>
      </c>
      <c r="X35" s="543">
        <v>0</v>
      </c>
      <c r="Y35" s="543">
        <v>220</v>
      </c>
      <c r="Z35" s="544">
        <v>438</v>
      </c>
      <c r="AA35" s="544">
        <v>400</v>
      </c>
      <c r="AB35" s="544">
        <v>0</v>
      </c>
      <c r="AC35" s="544">
        <f t="shared" si="6"/>
        <v>1245</v>
      </c>
      <c r="AD35" s="61">
        <v>141</v>
      </c>
      <c r="AE35" s="52">
        <f t="shared" si="0"/>
        <v>1386</v>
      </c>
    </row>
    <row r="36" spans="1:31" ht="18.75" customHeight="1">
      <c r="A36" s="500" t="s">
        <v>94</v>
      </c>
      <c r="B36" s="225"/>
      <c r="C36" s="225"/>
      <c r="D36" s="400" t="s">
        <v>11</v>
      </c>
      <c r="E36" s="208">
        <v>49</v>
      </c>
      <c r="F36" s="122">
        <v>1</v>
      </c>
      <c r="G36" s="120">
        <f t="shared" si="9"/>
        <v>49</v>
      </c>
      <c r="H36" s="122">
        <v>1</v>
      </c>
      <c r="I36" s="120">
        <f t="shared" si="10"/>
        <v>49</v>
      </c>
      <c r="J36" s="37">
        <v>1</v>
      </c>
      <c r="K36" s="38">
        <f t="shared" si="11"/>
        <v>49</v>
      </c>
      <c r="L36" s="381" t="s">
        <v>81</v>
      </c>
      <c r="M36" s="208">
        <v>0</v>
      </c>
      <c r="N36" s="88">
        <v>0</v>
      </c>
      <c r="O36" s="87">
        <f t="shared" si="12"/>
        <v>0</v>
      </c>
      <c r="P36" s="88">
        <v>0</v>
      </c>
      <c r="Q36" s="87">
        <f t="shared" si="15"/>
        <v>0</v>
      </c>
      <c r="R36" s="265">
        <v>0</v>
      </c>
      <c r="S36" s="263">
        <f t="shared" si="13"/>
        <v>0</v>
      </c>
      <c r="T36" s="265">
        <v>0</v>
      </c>
      <c r="U36" s="263">
        <f t="shared" si="14"/>
        <v>0</v>
      </c>
      <c r="V36" s="552" t="s">
        <v>183</v>
      </c>
      <c r="W36" s="539">
        <v>187</v>
      </c>
      <c r="X36" s="539">
        <v>0</v>
      </c>
      <c r="Y36" s="539">
        <v>220</v>
      </c>
      <c r="Z36" s="539">
        <v>300</v>
      </c>
      <c r="AA36" s="539">
        <v>0</v>
      </c>
      <c r="AB36" s="540">
        <v>0</v>
      </c>
      <c r="AC36" s="540">
        <f t="shared" si="6"/>
        <v>707</v>
      </c>
      <c r="AD36" s="61">
        <v>141</v>
      </c>
      <c r="AE36" s="52">
        <f t="shared" si="0"/>
        <v>848</v>
      </c>
    </row>
    <row r="37" spans="1:31" ht="18.75" customHeight="1">
      <c r="A37" s="500" t="s">
        <v>94</v>
      </c>
      <c r="B37" s="225"/>
      <c r="C37" s="225"/>
      <c r="D37" s="400" t="s">
        <v>11</v>
      </c>
      <c r="E37" s="208">
        <v>0</v>
      </c>
      <c r="F37" s="122">
        <v>1</v>
      </c>
      <c r="G37" s="120">
        <f t="shared" si="9"/>
        <v>0</v>
      </c>
      <c r="H37" s="122">
        <v>1</v>
      </c>
      <c r="I37" s="120">
        <f t="shared" si="10"/>
        <v>0</v>
      </c>
      <c r="J37" s="37">
        <v>1</v>
      </c>
      <c r="K37" s="38">
        <f t="shared" si="11"/>
        <v>0</v>
      </c>
      <c r="L37" s="381" t="s">
        <v>80</v>
      </c>
      <c r="M37" s="210">
        <v>7.5</v>
      </c>
      <c r="N37" s="100">
        <v>1</v>
      </c>
      <c r="O37" s="87">
        <f t="shared" si="12"/>
        <v>7.5</v>
      </c>
      <c r="P37" s="91">
        <v>1</v>
      </c>
      <c r="Q37" s="87">
        <f t="shared" si="15"/>
        <v>7.5</v>
      </c>
      <c r="R37" s="264">
        <v>1</v>
      </c>
      <c r="S37" s="263">
        <f t="shared" si="13"/>
        <v>7.5</v>
      </c>
      <c r="T37" s="264">
        <v>1</v>
      </c>
      <c r="U37" s="263">
        <f t="shared" si="14"/>
        <v>7.5</v>
      </c>
      <c r="V37" s="553" t="s">
        <v>184</v>
      </c>
      <c r="W37" s="541">
        <v>187</v>
      </c>
      <c r="X37" s="549">
        <v>0</v>
      </c>
      <c r="Y37" s="549">
        <v>220</v>
      </c>
      <c r="Z37" s="549">
        <v>170</v>
      </c>
      <c r="AA37" s="549">
        <v>0</v>
      </c>
      <c r="AB37" s="550">
        <v>0</v>
      </c>
      <c r="AC37" s="550">
        <f t="shared" si="6"/>
        <v>577</v>
      </c>
      <c r="AD37" s="61">
        <v>141</v>
      </c>
      <c r="AE37" s="52">
        <f t="shared" si="0"/>
        <v>718</v>
      </c>
    </row>
    <row r="38" spans="1:31" ht="18.75" customHeight="1">
      <c r="A38" s="495" t="s">
        <v>49</v>
      </c>
      <c r="B38" s="225"/>
      <c r="C38" s="225"/>
      <c r="D38" s="404" t="s">
        <v>50</v>
      </c>
      <c r="E38" s="232">
        <v>7.3</v>
      </c>
      <c r="F38" s="133">
        <v>8</v>
      </c>
      <c r="G38" s="132">
        <f t="shared" si="9"/>
        <v>58.4</v>
      </c>
      <c r="H38" s="134">
        <v>8</v>
      </c>
      <c r="I38" s="132">
        <f t="shared" si="10"/>
        <v>58.4</v>
      </c>
      <c r="J38" s="16">
        <v>8</v>
      </c>
      <c r="K38" s="44">
        <f t="shared" si="11"/>
        <v>58.4</v>
      </c>
      <c r="L38" s="381"/>
      <c r="M38" s="232">
        <v>7.3</v>
      </c>
      <c r="N38" s="86">
        <v>8</v>
      </c>
      <c r="O38" s="87">
        <f t="shared" si="12"/>
        <v>58.4</v>
      </c>
      <c r="P38" s="88">
        <v>9</v>
      </c>
      <c r="Q38" s="87">
        <f t="shared" si="15"/>
        <v>65.7</v>
      </c>
      <c r="R38" s="265">
        <v>9</v>
      </c>
      <c r="S38" s="263">
        <f t="shared" si="13"/>
        <v>65.7</v>
      </c>
      <c r="T38" s="265">
        <v>9</v>
      </c>
      <c r="U38" s="263">
        <f t="shared" si="14"/>
        <v>65.7</v>
      </c>
      <c r="V38" s="554" t="s">
        <v>185</v>
      </c>
      <c r="W38" s="541">
        <v>187</v>
      </c>
      <c r="X38" s="541">
        <v>0</v>
      </c>
      <c r="Y38" s="541">
        <v>220</v>
      </c>
      <c r="Z38" s="541">
        <v>0</v>
      </c>
      <c r="AA38" s="541">
        <v>0</v>
      </c>
      <c r="AB38" s="542">
        <v>0</v>
      </c>
      <c r="AC38" s="542">
        <f t="shared" si="6"/>
        <v>407</v>
      </c>
      <c r="AD38" s="81">
        <v>141</v>
      </c>
      <c r="AE38" s="80">
        <f t="shared" si="0"/>
        <v>548</v>
      </c>
    </row>
    <row r="39" spans="1:31" ht="18.75" customHeight="1">
      <c r="A39" s="495" t="s">
        <v>51</v>
      </c>
      <c r="B39" s="225"/>
      <c r="C39" s="225"/>
      <c r="D39" s="404" t="s">
        <v>50</v>
      </c>
      <c r="E39" s="232">
        <v>7.3</v>
      </c>
      <c r="F39" s="133">
        <v>1.4</v>
      </c>
      <c r="G39" s="132">
        <f t="shared" si="9"/>
        <v>10.219999999999999</v>
      </c>
      <c r="H39" s="134">
        <v>1.4</v>
      </c>
      <c r="I39" s="132">
        <f t="shared" si="10"/>
        <v>10.219999999999999</v>
      </c>
      <c r="J39" s="16">
        <v>1.4</v>
      </c>
      <c r="K39" s="44">
        <f t="shared" si="11"/>
        <v>10.219999999999999</v>
      </c>
      <c r="L39" s="381"/>
      <c r="M39" s="232">
        <v>7.3</v>
      </c>
      <c r="N39" s="86">
        <v>1.4</v>
      </c>
      <c r="O39" s="87">
        <f t="shared" si="12"/>
        <v>10.219999999999999</v>
      </c>
      <c r="P39" s="88">
        <v>1.4</v>
      </c>
      <c r="Q39" s="87">
        <f t="shared" si="15"/>
        <v>10.219999999999999</v>
      </c>
      <c r="R39" s="265">
        <v>1.4</v>
      </c>
      <c r="S39" s="263">
        <f t="shared" si="13"/>
        <v>10.219999999999999</v>
      </c>
      <c r="T39" s="265">
        <v>1.4</v>
      </c>
      <c r="U39" s="263">
        <f t="shared" si="14"/>
        <v>10.219999999999999</v>
      </c>
      <c r="V39" s="533" t="s">
        <v>178</v>
      </c>
      <c r="W39"/>
      <c r="X39"/>
      <c r="Y39"/>
      <c r="Z39"/>
      <c r="AA39"/>
      <c r="AB39"/>
      <c r="AC39"/>
      <c r="AD39" s="81">
        <v>141</v>
      </c>
      <c r="AE39" s="80">
        <f t="shared" si="0"/>
        <v>141</v>
      </c>
    </row>
    <row r="40" spans="1:31" ht="18.75" customHeight="1" thickBot="1">
      <c r="A40" s="495" t="s">
        <v>52</v>
      </c>
      <c r="B40" s="225"/>
      <c r="C40" s="225"/>
      <c r="D40" s="404" t="s">
        <v>44</v>
      </c>
      <c r="E40" s="211">
        <v>0.011</v>
      </c>
      <c r="F40" s="122">
        <f>F30</f>
        <v>3000</v>
      </c>
      <c r="G40" s="120">
        <f t="shared" si="9"/>
        <v>33</v>
      </c>
      <c r="H40" s="122">
        <f>H30</f>
        <v>3000</v>
      </c>
      <c r="I40" s="120">
        <f t="shared" si="10"/>
        <v>33</v>
      </c>
      <c r="J40" s="37">
        <f>J30</f>
        <v>4000</v>
      </c>
      <c r="K40" s="38">
        <f t="shared" si="11"/>
        <v>44</v>
      </c>
      <c r="L40" s="381"/>
      <c r="M40" s="211">
        <v>0.011</v>
      </c>
      <c r="N40" s="88">
        <f>N30</f>
        <v>2000</v>
      </c>
      <c r="O40" s="87">
        <f t="shared" si="12"/>
        <v>22</v>
      </c>
      <c r="P40" s="88">
        <f>P30</f>
        <v>3000</v>
      </c>
      <c r="Q40" s="87">
        <f t="shared" si="15"/>
        <v>33</v>
      </c>
      <c r="R40" s="265">
        <f>R30</f>
        <v>2000</v>
      </c>
      <c r="S40" s="263">
        <f t="shared" si="13"/>
        <v>22</v>
      </c>
      <c r="T40" s="265">
        <f>T30</f>
        <v>2000</v>
      </c>
      <c r="U40" s="263">
        <f t="shared" si="14"/>
        <v>22</v>
      </c>
      <c r="W40"/>
      <c r="X40"/>
      <c r="Y40"/>
      <c r="Z40"/>
      <c r="AA40"/>
      <c r="AB40"/>
      <c r="AC40"/>
      <c r="AD40" s="61"/>
      <c r="AE40" s="53"/>
    </row>
    <row r="41" spans="1:29" ht="18.75" customHeight="1">
      <c r="A41" s="495" t="s">
        <v>53</v>
      </c>
      <c r="B41" s="225"/>
      <c r="C41" s="225"/>
      <c r="D41" s="404" t="s">
        <v>44</v>
      </c>
      <c r="E41" s="209">
        <v>0.015</v>
      </c>
      <c r="F41" s="121">
        <f>+F30-F32</f>
        <v>2750</v>
      </c>
      <c r="G41" s="120">
        <f t="shared" si="9"/>
        <v>41.25</v>
      </c>
      <c r="H41" s="121">
        <f>+H30-H32</f>
        <v>2750</v>
      </c>
      <c r="I41" s="120">
        <f t="shared" si="10"/>
        <v>41.25</v>
      </c>
      <c r="J41" s="36">
        <f>+J30-J32</f>
        <v>3750</v>
      </c>
      <c r="K41" s="38">
        <f t="shared" si="11"/>
        <v>56.25</v>
      </c>
      <c r="L41" s="381"/>
      <c r="M41" s="211">
        <v>0.015</v>
      </c>
      <c r="N41" s="86">
        <f>+N30-N32</f>
        <v>1795</v>
      </c>
      <c r="O41" s="87">
        <f t="shared" si="12"/>
        <v>26.925</v>
      </c>
      <c r="P41" s="86">
        <f>+P30-P32</f>
        <v>2735</v>
      </c>
      <c r="Q41" s="87">
        <f t="shared" si="15"/>
        <v>41.025</v>
      </c>
      <c r="R41" s="261">
        <f>+R30-R32</f>
        <v>1795</v>
      </c>
      <c r="S41" s="263">
        <f t="shared" si="13"/>
        <v>26.925</v>
      </c>
      <c r="T41" s="261">
        <f>+T30-T32</f>
        <v>1795</v>
      </c>
      <c r="U41" s="263">
        <f t="shared" si="14"/>
        <v>26.925</v>
      </c>
      <c r="V41" s="570" t="s">
        <v>186</v>
      </c>
      <c r="W41" s="571"/>
      <c r="X41" s="571"/>
      <c r="Y41" s="571"/>
      <c r="Z41" s="571"/>
      <c r="AA41" s="571"/>
      <c r="AB41" s="571"/>
      <c r="AC41" s="571"/>
    </row>
    <row r="42" spans="1:33" ht="18.75" customHeight="1">
      <c r="A42" s="495" t="s">
        <v>54</v>
      </c>
      <c r="B42" s="225"/>
      <c r="C42" s="225"/>
      <c r="D42" s="404" t="s">
        <v>42</v>
      </c>
      <c r="E42" s="130">
        <v>0.5</v>
      </c>
      <c r="F42" s="124">
        <f>(SUM(G31:G41)+167)</f>
        <v>569.97</v>
      </c>
      <c r="G42" s="120"/>
      <c r="H42" s="125">
        <f>(SUM(I31:I41)+167)</f>
        <v>579.322</v>
      </c>
      <c r="I42" s="120"/>
      <c r="J42" s="39">
        <f>(SUM(K31:K41)+167)</f>
        <v>692.13</v>
      </c>
      <c r="K42" s="38"/>
      <c r="L42" s="381"/>
      <c r="M42" s="84">
        <v>0.5</v>
      </c>
      <c r="N42" s="92">
        <f>(SUM(O31:O41)+167)</f>
        <v>392.495</v>
      </c>
      <c r="O42" s="87"/>
      <c r="P42" s="93">
        <f>(SUM(Q31:Q41)+167)</f>
        <v>597.795</v>
      </c>
      <c r="Q42" s="87"/>
      <c r="R42" s="266">
        <f>(SUM(S31:S41)+167)</f>
        <v>410.795</v>
      </c>
      <c r="S42" s="263"/>
      <c r="T42" s="266">
        <f>(SUM(U31:U41)+167)</f>
        <v>410.795</v>
      </c>
      <c r="U42" s="263"/>
      <c r="V42" s="572" t="s">
        <v>187</v>
      </c>
      <c r="W42" s="571"/>
      <c r="X42" s="571"/>
      <c r="Y42" s="571"/>
      <c r="Z42" s="571"/>
      <c r="AA42" s="571"/>
      <c r="AB42" s="571"/>
      <c r="AC42" s="573"/>
      <c r="AG42"/>
    </row>
    <row r="43" spans="1:33" ht="18.75" customHeight="1" thickBot="1">
      <c r="A43" s="497" t="s">
        <v>56</v>
      </c>
      <c r="B43" s="225"/>
      <c r="C43" s="225"/>
      <c r="D43" s="405" t="s">
        <v>42</v>
      </c>
      <c r="E43" s="126">
        <v>0.05</v>
      </c>
      <c r="F43" s="127">
        <f>+E42*F42</f>
        <v>284.985</v>
      </c>
      <c r="G43" s="128">
        <f>E43*F43</f>
        <v>14.249250000000002</v>
      </c>
      <c r="H43" s="129">
        <f>+E42*H42</f>
        <v>289.661</v>
      </c>
      <c r="I43" s="128">
        <f>E43*H43</f>
        <v>14.48305</v>
      </c>
      <c r="J43" s="29">
        <f>+E42*J42</f>
        <v>346.065</v>
      </c>
      <c r="K43" s="367">
        <f>E43*J43</f>
        <v>17.303250000000002</v>
      </c>
      <c r="L43" s="381"/>
      <c r="M43" s="94">
        <v>0.05</v>
      </c>
      <c r="N43" s="95">
        <f>+M42*N42</f>
        <v>196.2475</v>
      </c>
      <c r="O43" s="96">
        <f>M43*N43</f>
        <v>9.812375000000001</v>
      </c>
      <c r="P43" s="97">
        <f>+M42*P42</f>
        <v>298.8975</v>
      </c>
      <c r="Q43" s="96">
        <f>M43*P43</f>
        <v>14.944875</v>
      </c>
      <c r="R43" s="266">
        <f>+M42*R42</f>
        <v>205.3975</v>
      </c>
      <c r="S43" s="263">
        <f>M43*R43</f>
        <v>10.269875</v>
      </c>
      <c r="T43" s="266">
        <f>+M42*T42</f>
        <v>205.3975</v>
      </c>
      <c r="U43" s="263">
        <f t="shared" si="14"/>
        <v>10.269875</v>
      </c>
      <c r="V43" s="570" t="s">
        <v>188</v>
      </c>
      <c r="W43" s="574"/>
      <c r="X43" s="574"/>
      <c r="Y43" s="574"/>
      <c r="Z43" s="574"/>
      <c r="AA43" s="574"/>
      <c r="AB43" s="574"/>
      <c r="AC43" s="574"/>
      <c r="AG43"/>
    </row>
    <row r="44" spans="1:33" ht="18.75" customHeight="1" thickBot="1">
      <c r="A44" s="168" t="s">
        <v>59</v>
      </c>
      <c r="B44" s="222"/>
      <c r="C44" s="222"/>
      <c r="D44" s="406"/>
      <c r="E44" s="152"/>
      <c r="F44" s="159"/>
      <c r="G44" s="153">
        <f>SUM(G31:G43)</f>
        <v>417.21925000000005</v>
      </c>
      <c r="H44" s="154"/>
      <c r="I44" s="153">
        <f>SUM(I31:I43)</f>
        <v>426.80505</v>
      </c>
      <c r="J44" s="155"/>
      <c r="K44" s="258">
        <f>SUM(K31:K43)</f>
        <v>542.43325</v>
      </c>
      <c r="L44" s="380"/>
      <c r="M44" s="156"/>
      <c r="N44" s="160"/>
      <c r="O44" s="157">
        <f>SUM(O31:O43)</f>
        <v>235.307375</v>
      </c>
      <c r="P44" s="158"/>
      <c r="Q44" s="260">
        <f>SUM(Q31:Q43)</f>
        <v>445.739875</v>
      </c>
      <c r="R44" s="450"/>
      <c r="S44" s="262">
        <f>SUM(S31:S43)</f>
        <v>254.06487500000003</v>
      </c>
      <c r="T44" s="450"/>
      <c r="U44" s="262">
        <f>SUM(U31:U43)</f>
        <v>254.06487500000003</v>
      </c>
      <c r="V44" s="570" t="s">
        <v>189</v>
      </c>
      <c r="W44" s="575"/>
      <c r="X44" s="575"/>
      <c r="Y44" s="575"/>
      <c r="Z44" s="575"/>
      <c r="AA44" s="575"/>
      <c r="AB44" s="575"/>
      <c r="AC44" s="575"/>
      <c r="AD44" s="59"/>
      <c r="AG44"/>
    </row>
    <row r="45" spans="1:33" ht="18.75" customHeight="1">
      <c r="A45" s="228"/>
      <c r="B45" s="225"/>
      <c r="C45" s="225"/>
      <c r="D45" s="398" t="s">
        <v>39</v>
      </c>
      <c r="E45" s="162" t="s">
        <v>40</v>
      </c>
      <c r="F45" s="163" t="s">
        <v>41</v>
      </c>
      <c r="G45" s="164" t="s">
        <v>42</v>
      </c>
      <c r="H45" s="165" t="s">
        <v>43</v>
      </c>
      <c r="I45" s="164" t="s">
        <v>42</v>
      </c>
      <c r="J45" s="166" t="s">
        <v>41</v>
      </c>
      <c r="K45" s="366" t="s">
        <v>42</v>
      </c>
      <c r="L45" s="379"/>
      <c r="M45" s="162" t="s">
        <v>40</v>
      </c>
      <c r="N45" s="163" t="s">
        <v>41</v>
      </c>
      <c r="O45" s="164" t="s">
        <v>42</v>
      </c>
      <c r="P45" s="165" t="s">
        <v>43</v>
      </c>
      <c r="Q45" s="164" t="s">
        <v>42</v>
      </c>
      <c r="R45" s="65" t="s">
        <v>41</v>
      </c>
      <c r="S45" s="66" t="s">
        <v>42</v>
      </c>
      <c r="T45" s="65" t="s">
        <v>41</v>
      </c>
      <c r="U45" s="66" t="s">
        <v>42</v>
      </c>
      <c r="V45" s="576" t="s">
        <v>190</v>
      </c>
      <c r="W45" s="577"/>
      <c r="X45" s="577"/>
      <c r="Y45" s="577"/>
      <c r="Z45" s="577"/>
      <c r="AA45" s="577"/>
      <c r="AB45" s="577"/>
      <c r="AC45" s="577"/>
      <c r="AG45"/>
    </row>
    <row r="46" spans="1:32" s="35" customFormat="1" ht="18.75" customHeight="1">
      <c r="A46" s="498" t="s">
        <v>60</v>
      </c>
      <c r="B46" s="455"/>
      <c r="C46" s="455"/>
      <c r="D46" s="456" t="s">
        <v>44</v>
      </c>
      <c r="E46" s="457"/>
      <c r="F46" s="458">
        <v>3000</v>
      </c>
      <c r="G46" s="459"/>
      <c r="H46" s="456">
        <f>'C1-alue'!D9</f>
        <v>3500</v>
      </c>
      <c r="I46" s="459"/>
      <c r="J46" s="456">
        <v>5000</v>
      </c>
      <c r="K46" s="459"/>
      <c r="L46" s="453"/>
      <c r="M46" s="457"/>
      <c r="N46" s="460">
        <v>2200</v>
      </c>
      <c r="O46" s="461"/>
      <c r="P46" s="462">
        <f>'C1-alue'!D62</f>
        <v>3000</v>
      </c>
      <c r="Q46" s="461"/>
      <c r="R46" s="463">
        <f>'C1-alue'!D24</f>
        <v>2000</v>
      </c>
      <c r="S46" s="499"/>
      <c r="T46" s="463">
        <f>'C1-alue'!D41</f>
        <v>2000</v>
      </c>
      <c r="U46" s="499"/>
      <c r="V46" s="570" t="s">
        <v>191</v>
      </c>
      <c r="W46" s="571"/>
      <c r="X46" s="571"/>
      <c r="Y46" s="571"/>
      <c r="Z46" s="571"/>
      <c r="AA46" s="571"/>
      <c r="AB46" s="571"/>
      <c r="AC46" s="571"/>
      <c r="AD46" s="56"/>
      <c r="AE46" s="50"/>
      <c r="AF46" s="50"/>
    </row>
    <row r="47" spans="1:33" ht="18.75" customHeight="1">
      <c r="A47" s="496" t="s">
        <v>33</v>
      </c>
      <c r="B47" s="225"/>
      <c r="C47" s="225"/>
      <c r="D47" s="403"/>
      <c r="E47" s="130"/>
      <c r="F47" s="131"/>
      <c r="G47" s="132"/>
      <c r="H47" s="133"/>
      <c r="I47" s="132"/>
      <c r="J47" s="40"/>
      <c r="K47" s="44"/>
      <c r="L47" s="381"/>
      <c r="M47" s="98"/>
      <c r="N47" s="90"/>
      <c r="O47" s="99"/>
      <c r="P47" s="100"/>
      <c r="Q47" s="99"/>
      <c r="R47" s="272"/>
      <c r="S47" s="273"/>
      <c r="T47" s="272"/>
      <c r="U47" s="273"/>
      <c r="V47" s="570" t="s">
        <v>192</v>
      </c>
      <c r="W47" s="571"/>
      <c r="X47" s="571"/>
      <c r="Y47" s="571"/>
      <c r="Z47" s="571"/>
      <c r="AA47" s="571"/>
      <c r="AB47" s="571"/>
      <c r="AC47" s="571"/>
      <c r="AG47"/>
    </row>
    <row r="48" spans="1:33" ht="18.75" customHeight="1">
      <c r="A48" s="495" t="s">
        <v>45</v>
      </c>
      <c r="B48" s="225"/>
      <c r="C48" s="225"/>
      <c r="D48" s="404" t="s">
        <v>44</v>
      </c>
      <c r="E48" s="209">
        <v>0.33</v>
      </c>
      <c r="F48" s="133">
        <v>180</v>
      </c>
      <c r="G48" s="142">
        <f aca="true" t="shared" si="16" ref="G48:G57">E48*F48</f>
        <v>59.400000000000006</v>
      </c>
      <c r="H48" s="236">
        <v>180</v>
      </c>
      <c r="I48" s="132">
        <f aca="true" t="shared" si="17" ref="I48:I57">E48*H48</f>
        <v>59.400000000000006</v>
      </c>
      <c r="J48" s="40">
        <v>180</v>
      </c>
      <c r="K48" s="44">
        <f aca="true" t="shared" si="18" ref="K48:K57">E48*J48</f>
        <v>59.400000000000006</v>
      </c>
      <c r="L48" s="381"/>
      <c r="M48" s="206">
        <v>0.36</v>
      </c>
      <c r="N48" s="100">
        <v>180</v>
      </c>
      <c r="O48" s="89">
        <f>M48*N48</f>
        <v>64.8</v>
      </c>
      <c r="P48" s="236">
        <v>180</v>
      </c>
      <c r="Q48" s="99">
        <f>M48*P48</f>
        <v>64.8</v>
      </c>
      <c r="R48" s="374">
        <v>180</v>
      </c>
      <c r="S48" s="273">
        <f aca="true" t="shared" si="19" ref="S48:S57">M48*R48</f>
        <v>64.8</v>
      </c>
      <c r="T48" s="374">
        <v>180</v>
      </c>
      <c r="U48" s="263">
        <f aca="true" t="shared" si="20" ref="U48:U57">M48*T48</f>
        <v>64.8</v>
      </c>
      <c r="V48" s="570" t="s">
        <v>193</v>
      </c>
      <c r="W48" s="571"/>
      <c r="X48" s="571"/>
      <c r="Y48" s="571"/>
      <c r="Z48" s="571"/>
      <c r="AA48" s="571"/>
      <c r="AB48" s="571"/>
      <c r="AC48" s="571"/>
      <c r="AG48"/>
    </row>
    <row r="49" spans="1:33" ht="18.75" customHeight="1">
      <c r="A49" s="495" t="s">
        <v>46</v>
      </c>
      <c r="B49" s="225"/>
      <c r="C49" s="225"/>
      <c r="D49" s="404" t="s">
        <v>44</v>
      </c>
      <c r="E49" s="232">
        <v>0</v>
      </c>
      <c r="F49" s="133">
        <v>0</v>
      </c>
      <c r="G49" s="142">
        <f t="shared" si="16"/>
        <v>0</v>
      </c>
      <c r="H49" s="237">
        <v>0</v>
      </c>
      <c r="I49" s="132">
        <f t="shared" si="17"/>
        <v>0</v>
      </c>
      <c r="J49" s="16">
        <v>0</v>
      </c>
      <c r="K49" s="44">
        <f t="shared" si="18"/>
        <v>0</v>
      </c>
      <c r="L49" s="381"/>
      <c r="M49" s="232">
        <v>0</v>
      </c>
      <c r="N49" s="100">
        <v>0</v>
      </c>
      <c r="O49" s="89">
        <f>M49*N49</f>
        <v>0</v>
      </c>
      <c r="P49" s="237">
        <v>0</v>
      </c>
      <c r="Q49" s="99">
        <f>M49*P49</f>
        <v>0</v>
      </c>
      <c r="R49" s="375">
        <v>0</v>
      </c>
      <c r="S49" s="273">
        <f t="shared" si="19"/>
        <v>0</v>
      </c>
      <c r="T49" s="375">
        <v>0</v>
      </c>
      <c r="U49" s="263">
        <f t="shared" si="20"/>
        <v>0</v>
      </c>
      <c r="V49" s="570" t="s">
        <v>194</v>
      </c>
      <c r="W49" s="571"/>
      <c r="X49" s="571"/>
      <c r="Y49" s="571"/>
      <c r="Z49" s="571"/>
      <c r="AA49" s="571"/>
      <c r="AB49" s="571"/>
      <c r="AC49" s="571"/>
      <c r="AG49"/>
    </row>
    <row r="50" spans="1:33" ht="18.75" customHeight="1">
      <c r="A50" s="526" t="s">
        <v>171</v>
      </c>
      <c r="B50" s="225"/>
      <c r="C50" s="225"/>
      <c r="D50" s="404" t="s">
        <v>44</v>
      </c>
      <c r="E50" s="209">
        <f>E2</f>
        <v>0.412</v>
      </c>
      <c r="F50" s="133">
        <v>350</v>
      </c>
      <c r="G50" s="142">
        <f t="shared" si="16"/>
        <v>144.2</v>
      </c>
      <c r="H50" s="237">
        <v>296</v>
      </c>
      <c r="I50" s="132">
        <f t="shared" si="17"/>
        <v>121.952</v>
      </c>
      <c r="J50" s="16">
        <v>540</v>
      </c>
      <c r="K50" s="44">
        <f t="shared" si="18"/>
        <v>222.48</v>
      </c>
      <c r="L50" s="381" t="s">
        <v>79</v>
      </c>
      <c r="M50" s="211">
        <f>E10</f>
        <v>0.265</v>
      </c>
      <c r="N50" s="86">
        <v>0</v>
      </c>
      <c r="O50" s="87">
        <f aca="true" t="shared" si="21" ref="O50:O57">M50*N50</f>
        <v>0</v>
      </c>
      <c r="P50" s="233">
        <v>500</v>
      </c>
      <c r="Q50" s="87">
        <f aca="true" t="shared" si="22" ref="Q50:Q57">M50*P50</f>
        <v>132.5</v>
      </c>
      <c r="R50" s="373">
        <v>0</v>
      </c>
      <c r="S50" s="263">
        <f t="shared" si="19"/>
        <v>0</v>
      </c>
      <c r="T50" s="373">
        <v>0</v>
      </c>
      <c r="U50" s="263">
        <f t="shared" si="20"/>
        <v>0</v>
      </c>
      <c r="W50" s="555"/>
      <c r="X50" s="556"/>
      <c r="Y50"/>
      <c r="Z50" s="556" t="s">
        <v>195</v>
      </c>
      <c r="AA50"/>
      <c r="AB50"/>
      <c r="AC50"/>
      <c r="AG50"/>
    </row>
    <row r="51" spans="1:33" ht="18.75" customHeight="1">
      <c r="A51" s="495" t="s">
        <v>47</v>
      </c>
      <c r="B51" s="225"/>
      <c r="C51" s="225"/>
      <c r="D51" s="404" t="s">
        <v>58</v>
      </c>
      <c r="E51" s="208">
        <v>44</v>
      </c>
      <c r="F51" s="133">
        <v>0</v>
      </c>
      <c r="G51" s="132">
        <f t="shared" si="16"/>
        <v>0</v>
      </c>
      <c r="H51" s="134">
        <v>0.25</v>
      </c>
      <c r="I51" s="132">
        <f t="shared" si="17"/>
        <v>11</v>
      </c>
      <c r="J51" s="16">
        <v>0.5</v>
      </c>
      <c r="K51" s="44">
        <f t="shared" si="18"/>
        <v>22</v>
      </c>
      <c r="L51" s="381"/>
      <c r="M51" s="207">
        <v>44</v>
      </c>
      <c r="N51" s="100">
        <v>0</v>
      </c>
      <c r="O51" s="87">
        <f t="shared" si="21"/>
        <v>0</v>
      </c>
      <c r="P51" s="91">
        <v>0.25</v>
      </c>
      <c r="Q51" s="87">
        <f t="shared" si="22"/>
        <v>11</v>
      </c>
      <c r="R51" s="264">
        <v>0.25</v>
      </c>
      <c r="S51" s="263">
        <f t="shared" si="19"/>
        <v>11</v>
      </c>
      <c r="T51" s="264">
        <v>0.25</v>
      </c>
      <c r="U51" s="263">
        <f t="shared" si="20"/>
        <v>11</v>
      </c>
      <c r="AG51"/>
    </row>
    <row r="52" spans="1:33" ht="18.75" customHeight="1">
      <c r="A52" s="495"/>
      <c r="B52" s="225"/>
      <c r="C52" s="225"/>
      <c r="D52" s="404"/>
      <c r="E52" s="208"/>
      <c r="F52" s="133"/>
      <c r="G52" s="132"/>
      <c r="H52" s="134"/>
      <c r="I52" s="132"/>
      <c r="J52" s="16"/>
      <c r="K52" s="44"/>
      <c r="L52" s="381" t="s">
        <v>81</v>
      </c>
      <c r="M52" s="208">
        <v>0</v>
      </c>
      <c r="N52" s="88">
        <v>0</v>
      </c>
      <c r="O52" s="87">
        <f t="shared" si="21"/>
        <v>0</v>
      </c>
      <c r="P52" s="88">
        <v>0</v>
      </c>
      <c r="Q52" s="87">
        <f t="shared" si="22"/>
        <v>0</v>
      </c>
      <c r="R52" s="265">
        <v>0</v>
      </c>
      <c r="S52" s="263">
        <f t="shared" si="19"/>
        <v>0</v>
      </c>
      <c r="T52" s="265">
        <v>0</v>
      </c>
      <c r="U52" s="263">
        <f t="shared" si="20"/>
        <v>0</v>
      </c>
      <c r="AG52"/>
    </row>
    <row r="53" spans="1:33" ht="18.75" customHeight="1">
      <c r="A53" s="500" t="s">
        <v>94</v>
      </c>
      <c r="B53" s="225"/>
      <c r="C53" s="225"/>
      <c r="D53" s="404" t="s">
        <v>11</v>
      </c>
      <c r="E53" s="208">
        <v>29</v>
      </c>
      <c r="F53" s="133">
        <v>1</v>
      </c>
      <c r="G53" s="132">
        <f t="shared" si="16"/>
        <v>29</v>
      </c>
      <c r="H53" s="134">
        <v>1</v>
      </c>
      <c r="I53" s="132">
        <f t="shared" si="17"/>
        <v>29</v>
      </c>
      <c r="J53" s="16">
        <v>1</v>
      </c>
      <c r="K53" s="44">
        <f t="shared" si="18"/>
        <v>29</v>
      </c>
      <c r="L53" s="381" t="s">
        <v>80</v>
      </c>
      <c r="M53" s="210">
        <v>7.5</v>
      </c>
      <c r="N53" s="100">
        <v>1</v>
      </c>
      <c r="O53" s="87">
        <f t="shared" si="21"/>
        <v>7.5</v>
      </c>
      <c r="P53" s="91">
        <v>1</v>
      </c>
      <c r="Q53" s="87">
        <f t="shared" si="22"/>
        <v>7.5</v>
      </c>
      <c r="R53" s="264">
        <v>1</v>
      </c>
      <c r="S53" s="263">
        <f t="shared" si="19"/>
        <v>7.5</v>
      </c>
      <c r="T53" s="264">
        <v>1</v>
      </c>
      <c r="U53" s="263">
        <f t="shared" si="20"/>
        <v>7.5</v>
      </c>
      <c r="AG53"/>
    </row>
    <row r="54" spans="1:33" ht="18.75" customHeight="1">
      <c r="A54" s="495" t="s">
        <v>49</v>
      </c>
      <c r="B54" s="225"/>
      <c r="C54" s="225"/>
      <c r="D54" s="404" t="s">
        <v>50</v>
      </c>
      <c r="E54" s="232">
        <v>7.3</v>
      </c>
      <c r="F54" s="133">
        <v>8</v>
      </c>
      <c r="G54" s="132">
        <f t="shared" si="16"/>
        <v>58.4</v>
      </c>
      <c r="H54" s="134">
        <v>8</v>
      </c>
      <c r="I54" s="132">
        <f t="shared" si="17"/>
        <v>58.4</v>
      </c>
      <c r="J54" s="16">
        <v>8</v>
      </c>
      <c r="K54" s="44">
        <f t="shared" si="18"/>
        <v>58.4</v>
      </c>
      <c r="L54" s="381"/>
      <c r="M54" s="232">
        <v>7.3</v>
      </c>
      <c r="N54" s="100">
        <v>8</v>
      </c>
      <c r="O54" s="99">
        <f t="shared" si="21"/>
        <v>58.4</v>
      </c>
      <c r="P54" s="91">
        <v>9</v>
      </c>
      <c r="Q54" s="87">
        <f t="shared" si="22"/>
        <v>65.7</v>
      </c>
      <c r="R54" s="264">
        <v>9</v>
      </c>
      <c r="S54" s="263">
        <f t="shared" si="19"/>
        <v>65.7</v>
      </c>
      <c r="T54" s="264">
        <v>9</v>
      </c>
      <c r="U54" s="263">
        <f t="shared" si="20"/>
        <v>65.7</v>
      </c>
      <c r="AG54"/>
    </row>
    <row r="55" spans="1:33" ht="18.75" customHeight="1">
      <c r="A55" s="495" t="s">
        <v>51</v>
      </c>
      <c r="B55" s="225"/>
      <c r="C55" s="225"/>
      <c r="D55" s="404" t="s">
        <v>50</v>
      </c>
      <c r="E55" s="232">
        <v>7.3</v>
      </c>
      <c r="F55" s="133">
        <v>1.4</v>
      </c>
      <c r="G55" s="132">
        <f t="shared" si="16"/>
        <v>10.219999999999999</v>
      </c>
      <c r="H55" s="134">
        <v>1.4</v>
      </c>
      <c r="I55" s="132">
        <f t="shared" si="17"/>
        <v>10.219999999999999</v>
      </c>
      <c r="J55" s="16">
        <v>1.4</v>
      </c>
      <c r="K55" s="44">
        <f t="shared" si="18"/>
        <v>10.219999999999999</v>
      </c>
      <c r="L55" s="381"/>
      <c r="M55" s="232">
        <v>7.3</v>
      </c>
      <c r="N55" s="100">
        <v>1.4</v>
      </c>
      <c r="O55" s="99">
        <f t="shared" si="21"/>
        <v>10.219999999999999</v>
      </c>
      <c r="P55" s="91">
        <v>1.4</v>
      </c>
      <c r="Q55" s="87">
        <f t="shared" si="22"/>
        <v>10.219999999999999</v>
      </c>
      <c r="R55" s="264">
        <v>1.4</v>
      </c>
      <c r="S55" s="263">
        <f t="shared" si="19"/>
        <v>10.219999999999999</v>
      </c>
      <c r="T55" s="264">
        <v>1.4</v>
      </c>
      <c r="U55" s="263">
        <f t="shared" si="20"/>
        <v>10.219999999999999</v>
      </c>
      <c r="AG55"/>
    </row>
    <row r="56" spans="1:33" ht="18.75" customHeight="1">
      <c r="A56" s="495" t="s">
        <v>52</v>
      </c>
      <c r="B56" s="225"/>
      <c r="C56" s="225"/>
      <c r="D56" s="404" t="s">
        <v>44</v>
      </c>
      <c r="E56" s="211">
        <v>0.011</v>
      </c>
      <c r="F56" s="133">
        <f>F46</f>
        <v>3000</v>
      </c>
      <c r="G56" s="132">
        <f t="shared" si="16"/>
        <v>33</v>
      </c>
      <c r="H56" s="134">
        <f>H46</f>
        <v>3500</v>
      </c>
      <c r="I56" s="132">
        <f t="shared" si="17"/>
        <v>38.5</v>
      </c>
      <c r="J56" s="16">
        <f>J46</f>
        <v>5000</v>
      </c>
      <c r="K56" s="44">
        <f t="shared" si="18"/>
        <v>55</v>
      </c>
      <c r="L56" s="381"/>
      <c r="M56" s="211">
        <v>0.011</v>
      </c>
      <c r="N56" s="100">
        <f>N46</f>
        <v>2200</v>
      </c>
      <c r="O56" s="99">
        <f t="shared" si="21"/>
        <v>24.2</v>
      </c>
      <c r="P56" s="91">
        <f>P46</f>
        <v>3000</v>
      </c>
      <c r="Q56" s="87">
        <f t="shared" si="22"/>
        <v>33</v>
      </c>
      <c r="R56" s="264">
        <f>R46</f>
        <v>2000</v>
      </c>
      <c r="S56" s="263">
        <f t="shared" si="19"/>
        <v>22</v>
      </c>
      <c r="T56" s="264">
        <f>T46</f>
        <v>2000</v>
      </c>
      <c r="U56" s="263">
        <f t="shared" si="20"/>
        <v>22</v>
      </c>
      <c r="AG56"/>
    </row>
    <row r="57" spans="1:33" ht="18.75" customHeight="1">
      <c r="A57" s="495" t="s">
        <v>53</v>
      </c>
      <c r="B57" s="225"/>
      <c r="C57" s="225"/>
      <c r="D57" s="404" t="s">
        <v>44</v>
      </c>
      <c r="E57" s="209">
        <v>0.015</v>
      </c>
      <c r="F57" s="133">
        <f>F46-F48</f>
        <v>2820</v>
      </c>
      <c r="G57" s="132">
        <f t="shared" si="16"/>
        <v>42.3</v>
      </c>
      <c r="H57" s="134">
        <f>H46-H48</f>
        <v>3320</v>
      </c>
      <c r="I57" s="132">
        <f t="shared" si="17"/>
        <v>49.8</v>
      </c>
      <c r="J57" s="16">
        <f>J46-J48</f>
        <v>4820</v>
      </c>
      <c r="K57" s="44">
        <f t="shared" si="18"/>
        <v>72.3</v>
      </c>
      <c r="L57" s="381"/>
      <c r="M57" s="209">
        <v>0.015</v>
      </c>
      <c r="N57" s="100">
        <f>N46-N48</f>
        <v>2020</v>
      </c>
      <c r="O57" s="99">
        <f t="shared" si="21"/>
        <v>30.299999999999997</v>
      </c>
      <c r="P57" s="91">
        <f>P46-P48</f>
        <v>2820</v>
      </c>
      <c r="Q57" s="87">
        <f t="shared" si="22"/>
        <v>42.3</v>
      </c>
      <c r="R57" s="264">
        <f>R46-R48</f>
        <v>1820</v>
      </c>
      <c r="S57" s="263">
        <f t="shared" si="19"/>
        <v>27.3</v>
      </c>
      <c r="T57" s="264">
        <f>T46-T48</f>
        <v>1820</v>
      </c>
      <c r="U57" s="263">
        <f t="shared" si="20"/>
        <v>27.3</v>
      </c>
      <c r="AG57"/>
    </row>
    <row r="58" spans="1:33" ht="18.75" customHeight="1">
      <c r="A58" s="495" t="s">
        <v>54</v>
      </c>
      <c r="B58" s="225"/>
      <c r="C58" s="225"/>
      <c r="D58" s="404" t="s">
        <v>42</v>
      </c>
      <c r="E58" s="130">
        <v>0.5</v>
      </c>
      <c r="F58" s="135">
        <f>(SUM(G48:G57)+167)</f>
        <v>543.52</v>
      </c>
      <c r="G58" s="132"/>
      <c r="H58" s="136">
        <f>(SUM(I48:I57)+167)</f>
        <v>545.2719999999999</v>
      </c>
      <c r="I58" s="132"/>
      <c r="J58" s="41">
        <f>(SUM(K48:K57)+167)</f>
        <v>695.8</v>
      </c>
      <c r="K58" s="44"/>
      <c r="L58" s="381"/>
      <c r="M58" s="98">
        <v>0.5</v>
      </c>
      <c r="N58" s="101">
        <f>(SUM(O48:O57)+167)</f>
        <v>362.41999999999996</v>
      </c>
      <c r="O58" s="99"/>
      <c r="P58" s="102">
        <f>(SUM(Q48:Q57)+167)</f>
        <v>534.02</v>
      </c>
      <c r="Q58" s="99"/>
      <c r="R58" s="274">
        <f>(SUM(S48:S57)+167)</f>
        <v>375.52</v>
      </c>
      <c r="S58" s="273"/>
      <c r="T58" s="274">
        <f>(SUM(U48:U57)+167)</f>
        <v>375.52</v>
      </c>
      <c r="U58" s="273"/>
      <c r="V58" s="35"/>
      <c r="W58" s="50"/>
      <c r="X58" s="50"/>
      <c r="Y58" s="50"/>
      <c r="Z58" s="50"/>
      <c r="AA58" s="50"/>
      <c r="AC58" s="50"/>
      <c r="AD58" s="59"/>
      <c r="AG58"/>
    </row>
    <row r="59" spans="1:33" ht="18.75" customHeight="1" thickBot="1">
      <c r="A59" s="495" t="s">
        <v>56</v>
      </c>
      <c r="B59" s="225"/>
      <c r="C59" s="225"/>
      <c r="D59" s="404" t="s">
        <v>42</v>
      </c>
      <c r="E59" s="130">
        <v>0.05</v>
      </c>
      <c r="F59" s="135">
        <f>+E58*F58</f>
        <v>271.76</v>
      </c>
      <c r="G59" s="132">
        <f>E59*F59</f>
        <v>13.588000000000001</v>
      </c>
      <c r="H59" s="136">
        <f>+E58*H58</f>
        <v>272.63599999999997</v>
      </c>
      <c r="I59" s="132">
        <f>E59*H59</f>
        <v>13.631799999999998</v>
      </c>
      <c r="J59" s="41">
        <f>+E58*J58</f>
        <v>347.9</v>
      </c>
      <c r="K59" s="44">
        <f>E59*J59</f>
        <v>17.395</v>
      </c>
      <c r="L59" s="381"/>
      <c r="M59" s="98">
        <v>0.05</v>
      </c>
      <c r="N59" s="101">
        <f>+M58*N58</f>
        <v>181.20999999999998</v>
      </c>
      <c r="O59" s="99">
        <f>M59*N59</f>
        <v>9.0605</v>
      </c>
      <c r="P59" s="102">
        <f>+M58*P58</f>
        <v>267.01</v>
      </c>
      <c r="Q59" s="99">
        <f>M59*P59</f>
        <v>13.3505</v>
      </c>
      <c r="R59" s="274">
        <f>+M58*R58</f>
        <v>187.76</v>
      </c>
      <c r="S59" s="273">
        <f>M59*R59</f>
        <v>9.388</v>
      </c>
      <c r="T59" s="266">
        <f>+M58*T58</f>
        <v>187.76</v>
      </c>
      <c r="U59" s="263">
        <f>M59*T59</f>
        <v>9.388</v>
      </c>
      <c r="AG59"/>
    </row>
    <row r="60" spans="1:33" ht="18.75" customHeight="1" thickBot="1">
      <c r="A60" s="168" t="s">
        <v>59</v>
      </c>
      <c r="B60" s="222"/>
      <c r="C60" s="222"/>
      <c r="D60" s="407"/>
      <c r="E60" s="152"/>
      <c r="F60" s="159"/>
      <c r="G60" s="153">
        <f>SUM(G47:G59)</f>
        <v>390.10800000000006</v>
      </c>
      <c r="H60" s="154"/>
      <c r="I60" s="153">
        <f>SUM(I47:I59)</f>
        <v>391.9038</v>
      </c>
      <c r="J60" s="161"/>
      <c r="K60" s="368">
        <f>SUM(K47:K59)</f>
        <v>546.1949999999999</v>
      </c>
      <c r="L60" s="380"/>
      <c r="M60" s="156"/>
      <c r="N60" s="160"/>
      <c r="O60" s="157">
        <f>SUM(O47:O59)</f>
        <v>204.48049999999995</v>
      </c>
      <c r="P60" s="158"/>
      <c r="Q60" s="260">
        <f>SUM(Q47:Q59)</f>
        <v>380.37050000000005</v>
      </c>
      <c r="R60" s="450"/>
      <c r="S60" s="262">
        <f>SUM(S47:S59)</f>
        <v>217.90800000000002</v>
      </c>
      <c r="T60" s="450"/>
      <c r="U60" s="262">
        <f>SUM(U47:U59)</f>
        <v>217.90800000000002</v>
      </c>
      <c r="AG60"/>
    </row>
    <row r="61" spans="1:33" ht="18.75" customHeight="1">
      <c r="A61" s="228"/>
      <c r="B61" s="225"/>
      <c r="C61" s="225"/>
      <c r="D61" s="398" t="s">
        <v>39</v>
      </c>
      <c r="E61" s="162" t="s">
        <v>40</v>
      </c>
      <c r="F61" s="163" t="s">
        <v>41</v>
      </c>
      <c r="G61" s="164" t="s">
        <v>42</v>
      </c>
      <c r="H61" s="165" t="s">
        <v>43</v>
      </c>
      <c r="I61" s="164" t="s">
        <v>42</v>
      </c>
      <c r="J61" s="166" t="s">
        <v>41</v>
      </c>
      <c r="K61" s="366" t="s">
        <v>42</v>
      </c>
      <c r="L61" s="379"/>
      <c r="M61" s="162" t="s">
        <v>40</v>
      </c>
      <c r="N61" s="163" t="s">
        <v>41</v>
      </c>
      <c r="O61" s="164" t="s">
        <v>42</v>
      </c>
      <c r="P61" s="165" t="s">
        <v>43</v>
      </c>
      <c r="Q61" s="164" t="s">
        <v>42</v>
      </c>
      <c r="R61" s="65" t="s">
        <v>41</v>
      </c>
      <c r="S61" s="66" t="s">
        <v>42</v>
      </c>
      <c r="T61" s="65" t="s">
        <v>41</v>
      </c>
      <c r="U61" s="66" t="s">
        <v>42</v>
      </c>
      <c r="AG61"/>
    </row>
    <row r="62" spans="1:33" ht="18.75" customHeight="1">
      <c r="A62" s="498" t="s">
        <v>61</v>
      </c>
      <c r="B62" s="469"/>
      <c r="C62" s="469"/>
      <c r="D62" s="456" t="s">
        <v>44</v>
      </c>
      <c r="E62" s="457"/>
      <c r="F62" s="458">
        <v>3000</v>
      </c>
      <c r="G62" s="459"/>
      <c r="H62" s="456">
        <f>'C1-alue'!D10</f>
        <v>3000</v>
      </c>
      <c r="I62" s="459"/>
      <c r="J62" s="456">
        <v>5000</v>
      </c>
      <c r="K62" s="459"/>
      <c r="L62" s="453"/>
      <c r="M62" s="457"/>
      <c r="N62" s="460">
        <v>2500</v>
      </c>
      <c r="O62" s="461"/>
      <c r="P62" s="462">
        <f>'C1-alue'!D63</f>
        <v>2500</v>
      </c>
      <c r="Q62" s="461"/>
      <c r="R62" s="463">
        <f>'C1-alue'!D25</f>
        <v>2000</v>
      </c>
      <c r="S62" s="499"/>
      <c r="T62" s="463">
        <f>'C1-alue'!D42</f>
        <v>2000</v>
      </c>
      <c r="U62" s="499"/>
      <c r="AG62"/>
    </row>
    <row r="63" spans="1:32" s="35" customFormat="1" ht="18.75" customHeight="1">
      <c r="A63" s="496" t="s">
        <v>33</v>
      </c>
      <c r="B63" s="225"/>
      <c r="C63" s="225"/>
      <c r="D63" s="403"/>
      <c r="E63" s="130"/>
      <c r="F63" s="131"/>
      <c r="G63" s="132"/>
      <c r="H63" s="133"/>
      <c r="I63" s="132"/>
      <c r="J63" s="40"/>
      <c r="K63" s="44"/>
      <c r="L63" s="381"/>
      <c r="M63" s="98"/>
      <c r="N63" s="90"/>
      <c r="O63" s="99"/>
      <c r="P63" s="100"/>
      <c r="Q63" s="99"/>
      <c r="R63" s="272"/>
      <c r="S63" s="273"/>
      <c r="T63" s="272"/>
      <c r="U63" s="273"/>
      <c r="V63"/>
      <c r="W63" s="7"/>
      <c r="X63" s="7"/>
      <c r="Y63" s="7"/>
      <c r="Z63" s="7"/>
      <c r="AA63" s="7"/>
      <c r="AB63" s="60"/>
      <c r="AC63" s="7"/>
      <c r="AD63" s="56"/>
      <c r="AE63" s="50"/>
      <c r="AF63" s="50"/>
    </row>
    <row r="64" spans="1:33" ht="18.75" customHeight="1">
      <c r="A64" s="495" t="s">
        <v>45</v>
      </c>
      <c r="B64" s="225"/>
      <c r="C64" s="225"/>
      <c r="D64" s="404" t="s">
        <v>44</v>
      </c>
      <c r="E64" s="209">
        <v>0.36</v>
      </c>
      <c r="F64" s="133">
        <v>275</v>
      </c>
      <c r="G64" s="142">
        <f aca="true" t="shared" si="23" ref="G64:G74">E64*F64</f>
        <v>99</v>
      </c>
      <c r="H64" s="236">
        <v>275</v>
      </c>
      <c r="I64" s="132">
        <f aca="true" t="shared" si="24" ref="I64:I74">E64*H64</f>
        <v>99</v>
      </c>
      <c r="J64" s="40">
        <v>275</v>
      </c>
      <c r="K64" s="44">
        <f aca="true" t="shared" si="25" ref="K64:K74">E64*J64</f>
        <v>99</v>
      </c>
      <c r="L64" s="381"/>
      <c r="M64" s="206">
        <v>0.42</v>
      </c>
      <c r="N64" s="100">
        <v>275</v>
      </c>
      <c r="O64" s="89">
        <f>M64*N64</f>
        <v>115.5</v>
      </c>
      <c r="P64" s="236">
        <v>275</v>
      </c>
      <c r="Q64" s="99">
        <f>M64*P64</f>
        <v>115.5</v>
      </c>
      <c r="R64" s="374">
        <v>275</v>
      </c>
      <c r="S64" s="273">
        <f aca="true" t="shared" si="26" ref="S64:S74">M64*R64</f>
        <v>115.5</v>
      </c>
      <c r="T64" s="374">
        <v>275</v>
      </c>
      <c r="U64" s="263">
        <f aca="true" t="shared" si="27" ref="U64:U76">M64*T64</f>
        <v>115.5</v>
      </c>
      <c r="AG64"/>
    </row>
    <row r="65" spans="1:33" ht="18.75" customHeight="1">
      <c r="A65" s="495" t="s">
        <v>46</v>
      </c>
      <c r="B65" s="225"/>
      <c r="C65" s="225"/>
      <c r="D65" s="404" t="s">
        <v>44</v>
      </c>
      <c r="E65" s="232">
        <v>0</v>
      </c>
      <c r="F65" s="133">
        <v>0</v>
      </c>
      <c r="G65" s="142">
        <f t="shared" si="23"/>
        <v>0</v>
      </c>
      <c r="H65" s="237">
        <v>0</v>
      </c>
      <c r="I65" s="132">
        <f t="shared" si="24"/>
        <v>0</v>
      </c>
      <c r="J65" s="16">
        <v>0</v>
      </c>
      <c r="K65" s="44">
        <f t="shared" si="25"/>
        <v>0</v>
      </c>
      <c r="L65" s="381"/>
      <c r="M65" s="232">
        <v>0</v>
      </c>
      <c r="N65" s="100">
        <v>0</v>
      </c>
      <c r="O65" s="89">
        <f>M65*N65</f>
        <v>0</v>
      </c>
      <c r="P65" s="237">
        <v>0</v>
      </c>
      <c r="Q65" s="99">
        <f>M65*P65</f>
        <v>0</v>
      </c>
      <c r="R65" s="375">
        <v>0</v>
      </c>
      <c r="S65" s="273">
        <f t="shared" si="26"/>
        <v>0</v>
      </c>
      <c r="T65" s="375">
        <v>0</v>
      </c>
      <c r="U65" s="263">
        <f t="shared" si="27"/>
        <v>0</v>
      </c>
      <c r="AG65"/>
    </row>
    <row r="66" spans="1:33" ht="18.75" customHeight="1">
      <c r="A66" s="526" t="s">
        <v>171</v>
      </c>
      <c r="B66" s="225"/>
      <c r="C66" s="225"/>
      <c r="D66" s="404" t="s">
        <v>44</v>
      </c>
      <c r="E66" s="209">
        <f>E2</f>
        <v>0.412</v>
      </c>
      <c r="F66" s="133">
        <v>360</v>
      </c>
      <c r="G66" s="142">
        <f t="shared" si="23"/>
        <v>148.32</v>
      </c>
      <c r="H66" s="237">
        <v>444</v>
      </c>
      <c r="I66" s="132">
        <f t="shared" si="24"/>
        <v>182.928</v>
      </c>
      <c r="J66" s="224">
        <v>540</v>
      </c>
      <c r="K66" s="44">
        <f t="shared" si="25"/>
        <v>222.48</v>
      </c>
      <c r="L66" s="381" t="s">
        <v>79</v>
      </c>
      <c r="M66" s="211">
        <f>E10</f>
        <v>0.265</v>
      </c>
      <c r="N66" s="86">
        <v>0</v>
      </c>
      <c r="O66" s="106">
        <f aca="true" t="shared" si="28" ref="O66:O74">M66*N66</f>
        <v>0</v>
      </c>
      <c r="P66" s="233">
        <v>500</v>
      </c>
      <c r="Q66" s="87">
        <f aca="true" t="shared" si="29" ref="Q66:Q74">M66*P66</f>
        <v>132.5</v>
      </c>
      <c r="R66" s="373">
        <v>0</v>
      </c>
      <c r="S66" s="263">
        <f t="shared" si="26"/>
        <v>0</v>
      </c>
      <c r="T66" s="373">
        <v>0</v>
      </c>
      <c r="U66" s="263">
        <f t="shared" si="27"/>
        <v>0</v>
      </c>
      <c r="AG66"/>
    </row>
    <row r="67" spans="1:33" ht="18.75" customHeight="1">
      <c r="A67" s="496" t="s">
        <v>47</v>
      </c>
      <c r="B67" s="225"/>
      <c r="C67" s="225"/>
      <c r="D67" s="404" t="s">
        <v>58</v>
      </c>
      <c r="E67" s="208">
        <v>44</v>
      </c>
      <c r="F67" s="133">
        <v>0</v>
      </c>
      <c r="G67" s="132">
        <f t="shared" si="23"/>
        <v>0</v>
      </c>
      <c r="H67" s="134">
        <v>0.25</v>
      </c>
      <c r="I67" s="132">
        <f t="shared" si="24"/>
        <v>11</v>
      </c>
      <c r="J67" s="16">
        <v>0.5</v>
      </c>
      <c r="K67" s="44">
        <f t="shared" si="25"/>
        <v>22</v>
      </c>
      <c r="L67" s="381"/>
      <c r="M67" s="207">
        <v>44</v>
      </c>
      <c r="N67" s="100">
        <v>0</v>
      </c>
      <c r="O67" s="87">
        <f t="shared" si="28"/>
        <v>0</v>
      </c>
      <c r="P67" s="91">
        <v>0.25</v>
      </c>
      <c r="Q67" s="87">
        <f t="shared" si="29"/>
        <v>11</v>
      </c>
      <c r="R67" s="264">
        <v>0.25</v>
      </c>
      <c r="S67" s="263">
        <f t="shared" si="26"/>
        <v>11</v>
      </c>
      <c r="T67" s="264">
        <v>0.25</v>
      </c>
      <c r="U67" s="263">
        <f t="shared" si="27"/>
        <v>11</v>
      </c>
      <c r="AG67"/>
    </row>
    <row r="68" spans="1:33" ht="18.75" customHeight="1">
      <c r="A68" s="500" t="s">
        <v>94</v>
      </c>
      <c r="B68" s="225"/>
      <c r="C68" s="225"/>
      <c r="D68" s="404" t="s">
        <v>11</v>
      </c>
      <c r="E68" s="208">
        <v>53</v>
      </c>
      <c r="F68" s="133">
        <v>1</v>
      </c>
      <c r="G68" s="132">
        <f t="shared" si="23"/>
        <v>53</v>
      </c>
      <c r="H68" s="134">
        <v>1</v>
      </c>
      <c r="I68" s="132">
        <f t="shared" si="24"/>
        <v>53</v>
      </c>
      <c r="J68" s="16">
        <v>1</v>
      </c>
      <c r="K68" s="44">
        <f t="shared" si="25"/>
        <v>53</v>
      </c>
      <c r="L68" s="381"/>
      <c r="M68" s="207"/>
      <c r="N68" s="100">
        <v>0</v>
      </c>
      <c r="O68" s="87">
        <f t="shared" si="28"/>
        <v>0</v>
      </c>
      <c r="P68" s="91">
        <v>0</v>
      </c>
      <c r="Q68" s="87">
        <f t="shared" si="29"/>
        <v>0</v>
      </c>
      <c r="R68" s="264">
        <v>0</v>
      </c>
      <c r="S68" s="263">
        <f t="shared" si="26"/>
        <v>0</v>
      </c>
      <c r="T68" s="264">
        <v>0</v>
      </c>
      <c r="U68" s="263">
        <f t="shared" si="27"/>
        <v>0</v>
      </c>
      <c r="AG68"/>
    </row>
    <row r="69" spans="1:33" ht="18.75" customHeight="1">
      <c r="A69" s="500" t="s">
        <v>94</v>
      </c>
      <c r="B69" s="225"/>
      <c r="C69" s="225"/>
      <c r="D69" s="404" t="s">
        <v>11</v>
      </c>
      <c r="E69" s="208">
        <v>0</v>
      </c>
      <c r="F69" s="133">
        <v>1</v>
      </c>
      <c r="G69" s="132">
        <f>E69*F69</f>
        <v>0</v>
      </c>
      <c r="H69" s="134">
        <v>1</v>
      </c>
      <c r="I69" s="132">
        <f>E69*H69</f>
        <v>0</v>
      </c>
      <c r="J69" s="16">
        <v>1</v>
      </c>
      <c r="K69" s="44">
        <f>E69*J69</f>
        <v>0</v>
      </c>
      <c r="L69" s="381" t="s">
        <v>81</v>
      </c>
      <c r="M69" s="208">
        <v>0</v>
      </c>
      <c r="N69" s="100">
        <v>0</v>
      </c>
      <c r="O69" s="87">
        <f t="shared" si="28"/>
        <v>0</v>
      </c>
      <c r="P69" s="91">
        <v>0</v>
      </c>
      <c r="Q69" s="87">
        <f t="shared" si="29"/>
        <v>0</v>
      </c>
      <c r="R69" s="264">
        <v>0</v>
      </c>
      <c r="S69" s="263">
        <f t="shared" si="26"/>
        <v>0</v>
      </c>
      <c r="T69" s="264">
        <v>0</v>
      </c>
      <c r="U69" s="263">
        <f t="shared" si="27"/>
        <v>0</v>
      </c>
      <c r="AG69"/>
    </row>
    <row r="70" spans="1:33" ht="18.75" customHeight="1">
      <c r="A70" s="500" t="s">
        <v>94</v>
      </c>
      <c r="B70" s="225"/>
      <c r="C70" s="225"/>
      <c r="D70" s="404" t="s">
        <v>11</v>
      </c>
      <c r="E70" s="232">
        <v>0</v>
      </c>
      <c r="F70" s="133">
        <v>1</v>
      </c>
      <c r="G70" s="132">
        <f>E70*F70</f>
        <v>0</v>
      </c>
      <c r="H70" s="134">
        <v>1</v>
      </c>
      <c r="I70" s="132">
        <f>E70*H70</f>
        <v>0</v>
      </c>
      <c r="J70" s="16">
        <v>1</v>
      </c>
      <c r="K70" s="44">
        <f>E70*J70</f>
        <v>0</v>
      </c>
      <c r="L70" s="381" t="s">
        <v>80</v>
      </c>
      <c r="M70" s="210">
        <v>7.5</v>
      </c>
      <c r="N70" s="100">
        <v>1</v>
      </c>
      <c r="O70" s="87">
        <f t="shared" si="28"/>
        <v>7.5</v>
      </c>
      <c r="P70" s="91">
        <v>1</v>
      </c>
      <c r="Q70" s="87">
        <f t="shared" si="29"/>
        <v>7.5</v>
      </c>
      <c r="R70" s="264">
        <v>1</v>
      </c>
      <c r="S70" s="263">
        <f t="shared" si="26"/>
        <v>7.5</v>
      </c>
      <c r="T70" s="264">
        <v>1</v>
      </c>
      <c r="U70" s="263">
        <f t="shared" si="27"/>
        <v>7.5</v>
      </c>
      <c r="AG70"/>
    </row>
    <row r="71" spans="1:21" ht="18.75" customHeight="1">
      <c r="A71" s="495" t="s">
        <v>49</v>
      </c>
      <c r="B71" s="225"/>
      <c r="C71" s="225"/>
      <c r="D71" s="404" t="s">
        <v>50</v>
      </c>
      <c r="E71" s="232">
        <v>7.3</v>
      </c>
      <c r="F71" s="133">
        <v>8</v>
      </c>
      <c r="G71" s="132">
        <f t="shared" si="23"/>
        <v>58.4</v>
      </c>
      <c r="H71" s="134">
        <v>8</v>
      </c>
      <c r="I71" s="132">
        <f t="shared" si="24"/>
        <v>58.4</v>
      </c>
      <c r="J71" s="16">
        <v>8</v>
      </c>
      <c r="K71" s="44">
        <f t="shared" si="25"/>
        <v>58.4</v>
      </c>
      <c r="L71" s="381"/>
      <c r="M71" s="232">
        <v>7.3</v>
      </c>
      <c r="N71" s="100">
        <v>8</v>
      </c>
      <c r="O71" s="87">
        <f t="shared" si="28"/>
        <v>58.4</v>
      </c>
      <c r="P71" s="91">
        <v>9</v>
      </c>
      <c r="Q71" s="87">
        <f t="shared" si="29"/>
        <v>65.7</v>
      </c>
      <c r="R71" s="264">
        <v>10</v>
      </c>
      <c r="S71" s="263">
        <f t="shared" si="26"/>
        <v>73</v>
      </c>
      <c r="T71" s="264">
        <v>10</v>
      </c>
      <c r="U71" s="263">
        <f t="shared" si="27"/>
        <v>73</v>
      </c>
    </row>
    <row r="72" spans="1:33" ht="18.75" customHeight="1">
      <c r="A72" s="495" t="s">
        <v>51</v>
      </c>
      <c r="B72" s="225"/>
      <c r="C72" s="225"/>
      <c r="D72" s="404" t="s">
        <v>50</v>
      </c>
      <c r="E72" s="232">
        <v>7.3</v>
      </c>
      <c r="F72" s="133">
        <v>1.4</v>
      </c>
      <c r="G72" s="132">
        <f t="shared" si="23"/>
        <v>10.219999999999999</v>
      </c>
      <c r="H72" s="134">
        <v>1.4</v>
      </c>
      <c r="I72" s="132">
        <f t="shared" si="24"/>
        <v>10.219999999999999</v>
      </c>
      <c r="J72" s="16">
        <v>1.4</v>
      </c>
      <c r="K72" s="44">
        <f t="shared" si="25"/>
        <v>10.219999999999999</v>
      </c>
      <c r="L72" s="385"/>
      <c r="M72" s="232">
        <v>7.3</v>
      </c>
      <c r="N72" s="100">
        <v>1.4</v>
      </c>
      <c r="O72" s="87">
        <f t="shared" si="28"/>
        <v>10.219999999999999</v>
      </c>
      <c r="P72" s="91">
        <v>1.4</v>
      </c>
      <c r="Q72" s="87">
        <f t="shared" si="29"/>
        <v>10.219999999999999</v>
      </c>
      <c r="R72" s="264">
        <v>1.4</v>
      </c>
      <c r="S72" s="263">
        <f t="shared" si="26"/>
        <v>10.219999999999999</v>
      </c>
      <c r="T72" s="264">
        <v>1.4</v>
      </c>
      <c r="U72" s="263">
        <f t="shared" si="27"/>
        <v>10.219999999999999</v>
      </c>
      <c r="AF72"/>
      <c r="AG72"/>
    </row>
    <row r="73" spans="1:33" ht="18.75" customHeight="1">
      <c r="A73" s="495" t="s">
        <v>52</v>
      </c>
      <c r="B73" s="225"/>
      <c r="C73" s="225"/>
      <c r="D73" s="404" t="s">
        <v>44</v>
      </c>
      <c r="E73" s="209">
        <v>0.011</v>
      </c>
      <c r="F73" s="133">
        <f>F62</f>
        <v>3000</v>
      </c>
      <c r="G73" s="132">
        <f t="shared" si="23"/>
        <v>33</v>
      </c>
      <c r="H73" s="133">
        <f>H62</f>
        <v>3000</v>
      </c>
      <c r="I73" s="132">
        <f t="shared" si="24"/>
        <v>33</v>
      </c>
      <c r="J73" s="40">
        <f>J62</f>
        <v>5000</v>
      </c>
      <c r="K73" s="44">
        <f t="shared" si="25"/>
        <v>55</v>
      </c>
      <c r="L73" s="381"/>
      <c r="M73" s="211">
        <v>0.011</v>
      </c>
      <c r="N73" s="100">
        <f>N62</f>
        <v>2500</v>
      </c>
      <c r="O73" s="87">
        <f t="shared" si="28"/>
        <v>27.5</v>
      </c>
      <c r="P73" s="100">
        <f>P62</f>
        <v>2500</v>
      </c>
      <c r="Q73" s="87">
        <f t="shared" si="29"/>
        <v>27.5</v>
      </c>
      <c r="R73" s="272">
        <f>R62</f>
        <v>2000</v>
      </c>
      <c r="S73" s="263">
        <f t="shared" si="26"/>
        <v>22</v>
      </c>
      <c r="T73" s="272">
        <f>T62</f>
        <v>2000</v>
      </c>
      <c r="U73" s="263">
        <f t="shared" si="27"/>
        <v>22</v>
      </c>
      <c r="AF73"/>
      <c r="AG73"/>
    </row>
    <row r="74" spans="1:33" ht="18.75" customHeight="1">
      <c r="A74" s="495" t="s">
        <v>53</v>
      </c>
      <c r="B74" s="225"/>
      <c r="C74" s="225"/>
      <c r="D74" s="404" t="s">
        <v>44</v>
      </c>
      <c r="E74" s="209">
        <v>0.015</v>
      </c>
      <c r="F74" s="133">
        <f>+F62-F64</f>
        <v>2725</v>
      </c>
      <c r="G74" s="132">
        <f t="shared" si="23"/>
        <v>40.875</v>
      </c>
      <c r="H74" s="133">
        <f>+H62-H64</f>
        <v>2725</v>
      </c>
      <c r="I74" s="132">
        <f t="shared" si="24"/>
        <v>40.875</v>
      </c>
      <c r="J74" s="40">
        <f>+J62-J64</f>
        <v>4725</v>
      </c>
      <c r="K74" s="44">
        <f t="shared" si="25"/>
        <v>70.875</v>
      </c>
      <c r="L74" s="381"/>
      <c r="M74" s="209">
        <v>0.015</v>
      </c>
      <c r="N74" s="100">
        <f>+N62-N64</f>
        <v>2225</v>
      </c>
      <c r="O74" s="87">
        <f t="shared" si="28"/>
        <v>33.375</v>
      </c>
      <c r="P74" s="100">
        <f>+P62-P64</f>
        <v>2225</v>
      </c>
      <c r="Q74" s="87">
        <f t="shared" si="29"/>
        <v>33.375</v>
      </c>
      <c r="R74" s="272">
        <f>+R62-R64</f>
        <v>1725</v>
      </c>
      <c r="S74" s="263">
        <f t="shared" si="26"/>
        <v>25.875</v>
      </c>
      <c r="T74" s="272">
        <f>+T62-T64</f>
        <v>1725</v>
      </c>
      <c r="U74" s="263">
        <f t="shared" si="27"/>
        <v>25.875</v>
      </c>
      <c r="AF74"/>
      <c r="AG74"/>
    </row>
    <row r="75" spans="1:33" ht="18.75" customHeight="1">
      <c r="A75" s="495" t="s">
        <v>54</v>
      </c>
      <c r="B75" s="225"/>
      <c r="C75" s="225"/>
      <c r="D75" s="404" t="s">
        <v>42</v>
      </c>
      <c r="E75" s="130">
        <v>0.5</v>
      </c>
      <c r="F75" s="135">
        <f>(SUM(G64:G74)+167)</f>
        <v>609.8149999999999</v>
      </c>
      <c r="G75" s="132"/>
      <c r="H75" s="136">
        <f>(SUM(I64:I74)+167)</f>
        <v>655.423</v>
      </c>
      <c r="I75" s="132"/>
      <c r="J75" s="41">
        <f>(SUM(K64:K74)+167)</f>
        <v>757.975</v>
      </c>
      <c r="K75" s="44"/>
      <c r="L75" s="381"/>
      <c r="M75" s="98">
        <v>0.5</v>
      </c>
      <c r="N75" s="101">
        <f>(SUM(O64:O74)+167)</f>
        <v>419.495</v>
      </c>
      <c r="O75" s="99"/>
      <c r="P75" s="102">
        <f>(SUM(Q64:Q74)+167)</f>
        <v>570.295</v>
      </c>
      <c r="Q75" s="99"/>
      <c r="R75" s="274">
        <f>(SUM(S64:S74)+167)</f>
        <v>432.095</v>
      </c>
      <c r="S75" s="273"/>
      <c r="T75" s="274">
        <f>(SUM(U64:U74)+167)</f>
        <v>432.095</v>
      </c>
      <c r="U75" s="263"/>
      <c r="V75" s="245"/>
      <c r="W75" s="55"/>
      <c r="X75" s="55"/>
      <c r="Y75" s="55"/>
      <c r="Z75" s="55"/>
      <c r="AA75" s="55"/>
      <c r="AB75" s="249"/>
      <c r="AC75" s="55"/>
      <c r="AD75" s="250"/>
      <c r="AF75"/>
      <c r="AG75"/>
    </row>
    <row r="76" spans="1:33" ht="18.75" customHeight="1" thickBot="1">
      <c r="A76" s="495" t="s">
        <v>56</v>
      </c>
      <c r="B76" s="225"/>
      <c r="C76" s="225"/>
      <c r="D76" s="404" t="s">
        <v>42</v>
      </c>
      <c r="E76" s="130">
        <v>0.05</v>
      </c>
      <c r="F76" s="135">
        <f>+E75*F75</f>
        <v>304.90749999999997</v>
      </c>
      <c r="G76" s="132">
        <f>E76*F76</f>
        <v>15.245375</v>
      </c>
      <c r="H76" s="136">
        <f>+E75*H75</f>
        <v>327.7115</v>
      </c>
      <c r="I76" s="132">
        <f>E76*H76</f>
        <v>16.385575</v>
      </c>
      <c r="J76" s="41">
        <f>+E75*J75</f>
        <v>378.9875</v>
      </c>
      <c r="K76" s="44">
        <f>E76*J76</f>
        <v>18.949375</v>
      </c>
      <c r="L76" s="381"/>
      <c r="M76" s="98">
        <v>0.05</v>
      </c>
      <c r="N76" s="101">
        <f>+M75*N75</f>
        <v>209.7475</v>
      </c>
      <c r="O76" s="99">
        <f>M76*N76</f>
        <v>10.487375</v>
      </c>
      <c r="P76" s="102">
        <f>+M75*P75</f>
        <v>285.1475</v>
      </c>
      <c r="Q76" s="99">
        <f>M76*P76</f>
        <v>14.257375</v>
      </c>
      <c r="R76" s="274">
        <f>+M75*R75</f>
        <v>216.0475</v>
      </c>
      <c r="S76" s="273">
        <f>M76*R76</f>
        <v>10.802375000000001</v>
      </c>
      <c r="T76" s="266">
        <f>+M75*T75</f>
        <v>216.0475</v>
      </c>
      <c r="U76" s="263">
        <f t="shared" si="27"/>
        <v>10.802375000000001</v>
      </c>
      <c r="V76" s="245"/>
      <c r="W76" s="55"/>
      <c r="X76" s="55"/>
      <c r="Y76" s="55"/>
      <c r="Z76" s="55"/>
      <c r="AA76" s="55"/>
      <c r="AB76" s="249"/>
      <c r="AC76" s="55"/>
      <c r="AD76" s="250"/>
      <c r="AF76"/>
      <c r="AG76"/>
    </row>
    <row r="77" spans="1:33" ht="18.75" customHeight="1" thickBot="1">
      <c r="A77" s="168" t="s">
        <v>59</v>
      </c>
      <c r="B77" s="222"/>
      <c r="C77" s="222"/>
      <c r="D77" s="407"/>
      <c r="E77" s="152"/>
      <c r="F77" s="159"/>
      <c r="G77" s="153">
        <f>SUM(G64:G76)</f>
        <v>458.06037499999996</v>
      </c>
      <c r="H77" s="154"/>
      <c r="I77" s="153">
        <f>SUM(I64:I76)</f>
        <v>504.808575</v>
      </c>
      <c r="J77" s="161"/>
      <c r="K77" s="368">
        <f>SUM(K64:K76)</f>
        <v>609.924375</v>
      </c>
      <c r="L77" s="380"/>
      <c r="M77" s="156"/>
      <c r="N77" s="160"/>
      <c r="O77" s="157">
        <f>SUM(O64:O76)</f>
        <v>262.982375</v>
      </c>
      <c r="P77" s="158"/>
      <c r="Q77" s="260">
        <f>SUM(Q64:Q76)</f>
        <v>417.552375</v>
      </c>
      <c r="R77" s="450"/>
      <c r="S77" s="262">
        <f>SUM(S64:S76)</f>
        <v>275.897375</v>
      </c>
      <c r="T77" s="450"/>
      <c r="U77" s="262">
        <f>SUM(U64:U76)</f>
        <v>275.897375</v>
      </c>
      <c r="AF77"/>
      <c r="AG77"/>
    </row>
    <row r="78" spans="1:33" ht="18.75" customHeight="1">
      <c r="A78" s="228"/>
      <c r="B78" s="225"/>
      <c r="C78" s="225"/>
      <c r="D78" s="398" t="s">
        <v>39</v>
      </c>
      <c r="E78" s="162" t="s">
        <v>40</v>
      </c>
      <c r="F78" s="163" t="s">
        <v>41</v>
      </c>
      <c r="G78" s="164" t="s">
        <v>42</v>
      </c>
      <c r="H78" s="165" t="s">
        <v>43</v>
      </c>
      <c r="I78" s="164" t="s">
        <v>42</v>
      </c>
      <c r="J78" s="166" t="s">
        <v>41</v>
      </c>
      <c r="K78" s="366" t="s">
        <v>42</v>
      </c>
      <c r="L78" s="379"/>
      <c r="M78" s="162" t="s">
        <v>40</v>
      </c>
      <c r="N78" s="163" t="s">
        <v>41</v>
      </c>
      <c r="O78" s="164" t="s">
        <v>42</v>
      </c>
      <c r="P78" s="165" t="s">
        <v>43</v>
      </c>
      <c r="Q78" s="164" t="s">
        <v>42</v>
      </c>
      <c r="R78" s="65" t="s">
        <v>41</v>
      </c>
      <c r="S78" s="66" t="s">
        <v>42</v>
      </c>
      <c r="T78" s="65" t="s">
        <v>41</v>
      </c>
      <c r="U78" s="66" t="s">
        <v>42</v>
      </c>
      <c r="AF78"/>
      <c r="AG78"/>
    </row>
    <row r="79" spans="1:33" ht="18.75" customHeight="1">
      <c r="A79" s="498" t="s">
        <v>62</v>
      </c>
      <c r="B79" s="455"/>
      <c r="C79" s="455"/>
      <c r="D79" s="456" t="s">
        <v>44</v>
      </c>
      <c r="E79" s="457"/>
      <c r="F79" s="458">
        <v>2500</v>
      </c>
      <c r="G79" s="459"/>
      <c r="H79" s="456">
        <f>'C1-alue'!D11</f>
        <v>3250</v>
      </c>
      <c r="I79" s="459"/>
      <c r="J79" s="456">
        <v>4000</v>
      </c>
      <c r="K79" s="459"/>
      <c r="L79" s="453"/>
      <c r="M79" s="457"/>
      <c r="N79" s="460">
        <v>1600</v>
      </c>
      <c r="O79" s="461"/>
      <c r="P79" s="462">
        <f>'C1-alue'!D64</f>
        <v>2000</v>
      </c>
      <c r="Q79" s="461"/>
      <c r="R79" s="463">
        <f>'C1-alue'!D26</f>
        <v>2500</v>
      </c>
      <c r="S79" s="499"/>
      <c r="T79" s="463">
        <f>'C1-alue'!D43</f>
        <v>2500</v>
      </c>
      <c r="U79" s="499"/>
      <c r="AF79"/>
      <c r="AG79"/>
    </row>
    <row r="80" spans="1:33" ht="18.75" customHeight="1">
      <c r="A80" s="496" t="s">
        <v>33</v>
      </c>
      <c r="B80" s="225"/>
      <c r="C80" s="225"/>
      <c r="D80" s="403"/>
      <c r="E80" s="130"/>
      <c r="F80" s="131"/>
      <c r="G80" s="132"/>
      <c r="H80" s="133"/>
      <c r="I80" s="132"/>
      <c r="J80" s="40"/>
      <c r="K80" s="44"/>
      <c r="L80" s="381"/>
      <c r="M80" s="98"/>
      <c r="N80" s="90"/>
      <c r="O80" s="99"/>
      <c r="P80" s="100"/>
      <c r="Q80" s="99"/>
      <c r="R80" s="272"/>
      <c r="S80" s="273"/>
      <c r="T80" s="272"/>
      <c r="U80" s="273"/>
      <c r="AF80"/>
      <c r="AG80"/>
    </row>
    <row r="81" spans="1:31" s="35" customFormat="1" ht="18.75" customHeight="1">
      <c r="A81" s="496" t="s">
        <v>45</v>
      </c>
      <c r="B81" s="225"/>
      <c r="C81" s="225"/>
      <c r="D81" s="404" t="s">
        <v>44</v>
      </c>
      <c r="E81" s="209">
        <v>0.33</v>
      </c>
      <c r="F81" s="133">
        <v>160</v>
      </c>
      <c r="G81" s="142">
        <f>E81*F81</f>
        <v>52.800000000000004</v>
      </c>
      <c r="H81" s="236">
        <v>160</v>
      </c>
      <c r="I81" s="132">
        <f>E81*H81</f>
        <v>52.800000000000004</v>
      </c>
      <c r="J81" s="40">
        <v>160</v>
      </c>
      <c r="K81" s="44">
        <f>E81*J81</f>
        <v>52.800000000000004</v>
      </c>
      <c r="L81" s="381"/>
      <c r="M81" s="206">
        <v>0.41</v>
      </c>
      <c r="N81" s="100">
        <v>160</v>
      </c>
      <c r="O81" s="106">
        <f aca="true" t="shared" si="30" ref="O81:O91">M81*N81</f>
        <v>65.6</v>
      </c>
      <c r="P81" s="236">
        <v>160</v>
      </c>
      <c r="Q81" s="87">
        <f aca="true" t="shared" si="31" ref="Q81:Q91">M81*P81</f>
        <v>65.6</v>
      </c>
      <c r="R81" s="374">
        <v>160</v>
      </c>
      <c r="S81" s="263">
        <f aca="true" t="shared" si="32" ref="S81:S91">M81*R81</f>
        <v>65.6</v>
      </c>
      <c r="T81" s="374">
        <v>160</v>
      </c>
      <c r="U81" s="263">
        <f aca="true" t="shared" si="33" ref="U81:U93">M81*T81</f>
        <v>65.6</v>
      </c>
      <c r="V81"/>
      <c r="W81" s="7"/>
      <c r="X81" s="7"/>
      <c r="Y81" s="7"/>
      <c r="Z81" s="7"/>
      <c r="AA81" s="7"/>
      <c r="AB81" s="60"/>
      <c r="AC81" s="7"/>
      <c r="AD81" s="56"/>
      <c r="AE81" s="50"/>
    </row>
    <row r="82" spans="1:33" ht="18.75" customHeight="1">
      <c r="A82" s="496" t="s">
        <v>46</v>
      </c>
      <c r="B82" s="225"/>
      <c r="C82" s="225"/>
      <c r="D82" s="404" t="s">
        <v>44</v>
      </c>
      <c r="E82" s="232">
        <v>0</v>
      </c>
      <c r="F82" s="133">
        <v>0</v>
      </c>
      <c r="G82" s="142">
        <f>E82*F82</f>
        <v>0</v>
      </c>
      <c r="H82" s="237">
        <v>0</v>
      </c>
      <c r="I82" s="132">
        <f>E82*H82</f>
        <v>0</v>
      </c>
      <c r="J82" s="16">
        <v>0</v>
      </c>
      <c r="K82" s="44">
        <f>E82*J82</f>
        <v>0</v>
      </c>
      <c r="L82" s="381"/>
      <c r="M82" s="232">
        <v>0</v>
      </c>
      <c r="N82" s="100">
        <v>0</v>
      </c>
      <c r="O82" s="106">
        <f t="shared" si="30"/>
        <v>0</v>
      </c>
      <c r="P82" s="237">
        <v>0</v>
      </c>
      <c r="Q82" s="87">
        <f t="shared" si="31"/>
        <v>0</v>
      </c>
      <c r="R82" s="375">
        <v>0</v>
      </c>
      <c r="S82" s="263">
        <f t="shared" si="32"/>
        <v>0</v>
      </c>
      <c r="T82" s="375">
        <v>0</v>
      </c>
      <c r="U82" s="263">
        <f t="shared" si="33"/>
        <v>0</v>
      </c>
      <c r="AF82"/>
      <c r="AG82"/>
    </row>
    <row r="83" spans="1:33" ht="18.75" customHeight="1">
      <c r="A83" s="526" t="s">
        <v>172</v>
      </c>
      <c r="B83" s="225"/>
      <c r="C83" s="225"/>
      <c r="D83" s="404" t="s">
        <v>44</v>
      </c>
      <c r="E83" s="209">
        <f>E6</f>
        <v>0.462</v>
      </c>
      <c r="F83" s="133">
        <v>120</v>
      </c>
      <c r="G83" s="142">
        <f>E83*F83</f>
        <v>55.440000000000005</v>
      </c>
      <c r="H83" s="237">
        <v>150</v>
      </c>
      <c r="I83" s="132">
        <f>E83*H83</f>
        <v>69.3</v>
      </c>
      <c r="J83" s="16">
        <v>140</v>
      </c>
      <c r="K83" s="44">
        <f>E83*J83</f>
        <v>64.68</v>
      </c>
      <c r="L83" s="381" t="s">
        <v>79</v>
      </c>
      <c r="M83" s="211">
        <f>E10</f>
        <v>0.265</v>
      </c>
      <c r="N83" s="86">
        <v>0</v>
      </c>
      <c r="O83" s="106">
        <f t="shared" si="30"/>
        <v>0</v>
      </c>
      <c r="P83" s="233">
        <v>500</v>
      </c>
      <c r="Q83" s="87">
        <f t="shared" si="31"/>
        <v>132.5</v>
      </c>
      <c r="R83" s="373">
        <v>500</v>
      </c>
      <c r="S83" s="263">
        <f t="shared" si="32"/>
        <v>132.5</v>
      </c>
      <c r="T83" s="373">
        <v>500</v>
      </c>
      <c r="U83" s="263">
        <f t="shared" si="33"/>
        <v>132.5</v>
      </c>
      <c r="AF83"/>
      <c r="AG83"/>
    </row>
    <row r="84" spans="1:33" ht="18.75" customHeight="1">
      <c r="A84" s="496" t="s">
        <v>63</v>
      </c>
      <c r="B84" s="225"/>
      <c r="C84" s="225"/>
      <c r="D84" s="404" t="s">
        <v>44</v>
      </c>
      <c r="E84" s="209">
        <f>E5</f>
        <v>0.315</v>
      </c>
      <c r="F84" s="133">
        <v>370</v>
      </c>
      <c r="G84" s="132">
        <f>F84*E84</f>
        <v>116.55</v>
      </c>
      <c r="H84" s="237">
        <v>370</v>
      </c>
      <c r="I84" s="132">
        <f>H84*E84</f>
        <v>116.55</v>
      </c>
      <c r="J84" s="16">
        <v>400</v>
      </c>
      <c r="K84" s="44">
        <f>J84*E84</f>
        <v>126</v>
      </c>
      <c r="L84" s="381"/>
      <c r="M84" s="209"/>
      <c r="N84" s="100"/>
      <c r="O84" s="87">
        <f t="shared" si="30"/>
        <v>0</v>
      </c>
      <c r="P84" s="91"/>
      <c r="Q84" s="87">
        <f t="shared" si="31"/>
        <v>0</v>
      </c>
      <c r="R84" s="264"/>
      <c r="S84" s="263">
        <f t="shared" si="32"/>
        <v>0</v>
      </c>
      <c r="T84" s="264"/>
      <c r="U84" s="263">
        <f t="shared" si="33"/>
        <v>0</v>
      </c>
      <c r="AF84"/>
      <c r="AG84"/>
    </row>
    <row r="85" spans="1:33" ht="18.75" customHeight="1">
      <c r="A85" s="496" t="s">
        <v>47</v>
      </c>
      <c r="B85" s="225"/>
      <c r="C85" s="225"/>
      <c r="D85" s="404" t="s">
        <v>58</v>
      </c>
      <c r="E85" s="207">
        <v>44</v>
      </c>
      <c r="F85" s="133">
        <v>0</v>
      </c>
      <c r="G85" s="132">
        <f aca="true" t="shared" si="34" ref="G85:G91">E85*F85</f>
        <v>0</v>
      </c>
      <c r="H85" s="134">
        <v>0.25</v>
      </c>
      <c r="I85" s="132">
        <f aca="true" t="shared" si="35" ref="I85:I91">E85*H85</f>
        <v>11</v>
      </c>
      <c r="J85" s="16">
        <v>0.5</v>
      </c>
      <c r="K85" s="44">
        <f aca="true" t="shared" si="36" ref="K85:K91">E85*J85</f>
        <v>22</v>
      </c>
      <c r="L85" s="381"/>
      <c r="M85" s="207">
        <v>44</v>
      </c>
      <c r="N85" s="100">
        <v>0</v>
      </c>
      <c r="O85" s="87">
        <f t="shared" si="30"/>
        <v>0</v>
      </c>
      <c r="P85" s="91">
        <v>0</v>
      </c>
      <c r="Q85" s="87">
        <f t="shared" si="31"/>
        <v>0</v>
      </c>
      <c r="R85" s="264">
        <v>0.25</v>
      </c>
      <c r="S85" s="263">
        <f t="shared" si="32"/>
        <v>11</v>
      </c>
      <c r="T85" s="264">
        <v>0.25</v>
      </c>
      <c r="U85" s="263">
        <f t="shared" si="33"/>
        <v>11</v>
      </c>
      <c r="AF85"/>
      <c r="AG85"/>
    </row>
    <row r="86" spans="1:33" ht="18.75" customHeight="1">
      <c r="A86" s="500" t="s">
        <v>94</v>
      </c>
      <c r="B86" s="225"/>
      <c r="C86" s="225"/>
      <c r="D86" s="404" t="s">
        <v>11</v>
      </c>
      <c r="E86" s="207">
        <v>49</v>
      </c>
      <c r="F86" s="133">
        <v>1</v>
      </c>
      <c r="G86" s="132">
        <f t="shared" si="34"/>
        <v>49</v>
      </c>
      <c r="H86" s="134">
        <v>1</v>
      </c>
      <c r="I86" s="132">
        <f t="shared" si="35"/>
        <v>49</v>
      </c>
      <c r="J86" s="16">
        <v>1</v>
      </c>
      <c r="K86" s="44">
        <f t="shared" si="36"/>
        <v>49</v>
      </c>
      <c r="L86" s="381" t="s">
        <v>81</v>
      </c>
      <c r="M86" s="207">
        <v>0</v>
      </c>
      <c r="N86" s="100">
        <v>0</v>
      </c>
      <c r="O86" s="87">
        <f t="shared" si="30"/>
        <v>0</v>
      </c>
      <c r="P86" s="91">
        <v>0</v>
      </c>
      <c r="Q86" s="87">
        <f t="shared" si="31"/>
        <v>0</v>
      </c>
      <c r="R86" s="264">
        <v>0</v>
      </c>
      <c r="S86" s="263">
        <f t="shared" si="32"/>
        <v>0</v>
      </c>
      <c r="T86" s="264">
        <v>0</v>
      </c>
      <c r="U86" s="263">
        <f t="shared" si="33"/>
        <v>0</v>
      </c>
      <c r="AF86"/>
      <c r="AG86"/>
    </row>
    <row r="87" spans="1:33" ht="18.75" customHeight="1">
      <c r="A87" s="500" t="s">
        <v>94</v>
      </c>
      <c r="B87" s="225"/>
      <c r="C87" s="225"/>
      <c r="D87" s="404" t="s">
        <v>11</v>
      </c>
      <c r="E87" s="207">
        <v>0</v>
      </c>
      <c r="F87" s="133">
        <v>1</v>
      </c>
      <c r="G87" s="132">
        <f t="shared" si="34"/>
        <v>0</v>
      </c>
      <c r="H87" s="134">
        <v>1</v>
      </c>
      <c r="I87" s="132">
        <f t="shared" si="35"/>
        <v>0</v>
      </c>
      <c r="J87" s="16">
        <v>1</v>
      </c>
      <c r="K87" s="44">
        <f t="shared" si="36"/>
        <v>0</v>
      </c>
      <c r="L87" s="381" t="s">
        <v>80</v>
      </c>
      <c r="M87" s="210">
        <v>7.5</v>
      </c>
      <c r="N87" s="100">
        <v>1</v>
      </c>
      <c r="O87" s="87">
        <f t="shared" si="30"/>
        <v>7.5</v>
      </c>
      <c r="P87" s="91">
        <v>1</v>
      </c>
      <c r="Q87" s="87">
        <f t="shared" si="31"/>
        <v>7.5</v>
      </c>
      <c r="R87" s="264">
        <v>1</v>
      </c>
      <c r="S87" s="263">
        <f t="shared" si="32"/>
        <v>7.5</v>
      </c>
      <c r="T87" s="264">
        <v>1</v>
      </c>
      <c r="U87" s="263">
        <f t="shared" si="33"/>
        <v>7.5</v>
      </c>
      <c r="AF87"/>
      <c r="AG87"/>
    </row>
    <row r="88" spans="1:33" ht="18.75" customHeight="1">
      <c r="A88" s="496" t="s">
        <v>64</v>
      </c>
      <c r="B88" s="225"/>
      <c r="C88" s="225"/>
      <c r="D88" s="404" t="s">
        <v>50</v>
      </c>
      <c r="E88" s="232">
        <v>7.3</v>
      </c>
      <c r="F88" s="133">
        <v>8.5</v>
      </c>
      <c r="G88" s="132">
        <f t="shared" si="34"/>
        <v>62.05</v>
      </c>
      <c r="H88" s="134">
        <v>8.5</v>
      </c>
      <c r="I88" s="132">
        <f t="shared" si="35"/>
        <v>62.05</v>
      </c>
      <c r="J88" s="16">
        <v>8.5</v>
      </c>
      <c r="K88" s="44">
        <f t="shared" si="36"/>
        <v>62.05</v>
      </c>
      <c r="L88" s="381"/>
      <c r="M88" s="232">
        <v>7.3</v>
      </c>
      <c r="N88" s="100">
        <v>8.5</v>
      </c>
      <c r="O88" s="87">
        <f t="shared" si="30"/>
        <v>62.05</v>
      </c>
      <c r="P88" s="91">
        <v>9.5</v>
      </c>
      <c r="Q88" s="87">
        <f t="shared" si="31"/>
        <v>69.35</v>
      </c>
      <c r="R88" s="264">
        <v>9.5</v>
      </c>
      <c r="S88" s="263">
        <f t="shared" si="32"/>
        <v>69.35</v>
      </c>
      <c r="T88" s="264">
        <v>9.5</v>
      </c>
      <c r="U88" s="263">
        <f t="shared" si="33"/>
        <v>69.35</v>
      </c>
      <c r="AF88"/>
      <c r="AG88"/>
    </row>
    <row r="89" spans="1:33" ht="18.75" customHeight="1">
      <c r="A89" s="496" t="s">
        <v>65</v>
      </c>
      <c r="B89" s="225"/>
      <c r="C89" s="225"/>
      <c r="D89" s="404" t="s">
        <v>50</v>
      </c>
      <c r="E89" s="232">
        <v>7.3</v>
      </c>
      <c r="F89" s="133">
        <v>2</v>
      </c>
      <c r="G89" s="132">
        <f t="shared" si="34"/>
        <v>14.6</v>
      </c>
      <c r="H89" s="134">
        <v>2</v>
      </c>
      <c r="I89" s="132">
        <f t="shared" si="35"/>
        <v>14.6</v>
      </c>
      <c r="J89" s="16">
        <v>2</v>
      </c>
      <c r="K89" s="44">
        <f t="shared" si="36"/>
        <v>14.6</v>
      </c>
      <c r="L89" s="381"/>
      <c r="M89" s="232">
        <v>7.3</v>
      </c>
      <c r="N89" s="100">
        <v>2</v>
      </c>
      <c r="O89" s="87">
        <f t="shared" si="30"/>
        <v>14.6</v>
      </c>
      <c r="P89" s="91">
        <v>2</v>
      </c>
      <c r="Q89" s="87">
        <f t="shared" si="31"/>
        <v>14.6</v>
      </c>
      <c r="R89" s="264">
        <v>2</v>
      </c>
      <c r="S89" s="263">
        <f t="shared" si="32"/>
        <v>14.6</v>
      </c>
      <c r="T89" s="264">
        <v>2</v>
      </c>
      <c r="U89" s="263">
        <f t="shared" si="33"/>
        <v>14.6</v>
      </c>
      <c r="AF89"/>
      <c r="AG89"/>
    </row>
    <row r="90" spans="1:33" ht="18.75" customHeight="1">
      <c r="A90" s="496" t="s">
        <v>66</v>
      </c>
      <c r="B90" s="225"/>
      <c r="C90" s="225"/>
      <c r="D90" s="404" t="s">
        <v>44</v>
      </c>
      <c r="E90" s="209">
        <v>0.011</v>
      </c>
      <c r="F90" s="133">
        <f>F79</f>
        <v>2500</v>
      </c>
      <c r="G90" s="132">
        <f t="shared" si="34"/>
        <v>27.5</v>
      </c>
      <c r="H90" s="133">
        <f>H79</f>
        <v>3250</v>
      </c>
      <c r="I90" s="132">
        <f t="shared" si="35"/>
        <v>35.75</v>
      </c>
      <c r="J90" s="40">
        <f>J79</f>
        <v>4000</v>
      </c>
      <c r="K90" s="44">
        <f t="shared" si="36"/>
        <v>44</v>
      </c>
      <c r="L90" s="381"/>
      <c r="M90" s="211">
        <v>0.011</v>
      </c>
      <c r="N90" s="100">
        <f>N79</f>
        <v>1600</v>
      </c>
      <c r="O90" s="87">
        <f t="shared" si="30"/>
        <v>17.599999999999998</v>
      </c>
      <c r="P90" s="100">
        <f>P79</f>
        <v>2000</v>
      </c>
      <c r="Q90" s="87">
        <f t="shared" si="31"/>
        <v>22</v>
      </c>
      <c r="R90" s="272">
        <f>R79</f>
        <v>2500</v>
      </c>
      <c r="S90" s="263">
        <f t="shared" si="32"/>
        <v>27.5</v>
      </c>
      <c r="T90" s="272">
        <f>T79</f>
        <v>2500</v>
      </c>
      <c r="U90" s="263">
        <f t="shared" si="33"/>
        <v>27.5</v>
      </c>
      <c r="AF90"/>
      <c r="AG90"/>
    </row>
    <row r="91" spans="1:33" ht="18.75" customHeight="1">
      <c r="A91" s="496" t="s">
        <v>53</v>
      </c>
      <c r="B91" s="225"/>
      <c r="C91" s="225"/>
      <c r="D91" s="404" t="s">
        <v>44</v>
      </c>
      <c r="E91" s="209">
        <v>0.015</v>
      </c>
      <c r="F91" s="133">
        <f>F79-F81</f>
        <v>2340</v>
      </c>
      <c r="G91" s="132">
        <f t="shared" si="34"/>
        <v>35.1</v>
      </c>
      <c r="H91" s="134">
        <f>H79-H81</f>
        <v>3090</v>
      </c>
      <c r="I91" s="132">
        <f t="shared" si="35"/>
        <v>46.35</v>
      </c>
      <c r="J91" s="16">
        <f>J79-J81</f>
        <v>3840</v>
      </c>
      <c r="K91" s="44">
        <f t="shared" si="36"/>
        <v>57.599999999999994</v>
      </c>
      <c r="L91" s="381"/>
      <c r="M91" s="209">
        <v>0.015</v>
      </c>
      <c r="N91" s="100">
        <f>N79-N81</f>
        <v>1440</v>
      </c>
      <c r="O91" s="87">
        <f t="shared" si="30"/>
        <v>21.599999999999998</v>
      </c>
      <c r="P91" s="91">
        <f>P79-P81</f>
        <v>1840</v>
      </c>
      <c r="Q91" s="87">
        <f t="shared" si="31"/>
        <v>27.599999999999998</v>
      </c>
      <c r="R91" s="264">
        <f>R79-R81</f>
        <v>2340</v>
      </c>
      <c r="S91" s="263">
        <f t="shared" si="32"/>
        <v>35.1</v>
      </c>
      <c r="T91" s="264">
        <f>T79-T81</f>
        <v>2340</v>
      </c>
      <c r="U91" s="263">
        <f t="shared" si="33"/>
        <v>35.1</v>
      </c>
      <c r="AF91"/>
      <c r="AG91"/>
    </row>
    <row r="92" spans="1:33" ht="18.75" customHeight="1">
      <c r="A92" s="496" t="s">
        <v>67</v>
      </c>
      <c r="B92" s="225"/>
      <c r="C92" s="225"/>
      <c r="D92" s="404" t="s">
        <v>42</v>
      </c>
      <c r="E92" s="130">
        <v>0.75</v>
      </c>
      <c r="F92" s="135">
        <f>(SUM(G81:G91)+181)</f>
        <v>594.0400000000001</v>
      </c>
      <c r="G92" s="132"/>
      <c r="H92" s="136">
        <f>(SUM(I81:I91)+181)</f>
        <v>638.4000000000001</v>
      </c>
      <c r="I92" s="132"/>
      <c r="J92" s="41">
        <f>(SUM(K81:K91)+181)</f>
        <v>673.73</v>
      </c>
      <c r="K92" s="44"/>
      <c r="L92" s="381"/>
      <c r="M92" s="98">
        <v>0.75</v>
      </c>
      <c r="N92" s="101">
        <f>(SUM(O81:O91)+181)</f>
        <v>369.94999999999993</v>
      </c>
      <c r="O92" s="99"/>
      <c r="P92" s="102">
        <f>(SUM(Q81:Q91)+181)</f>
        <v>520.1500000000001</v>
      </c>
      <c r="Q92" s="99"/>
      <c r="R92" s="274">
        <f>(SUM(S81:S91)+181)</f>
        <v>544.1500000000001</v>
      </c>
      <c r="S92" s="273"/>
      <c r="T92" s="274">
        <f>(SUM(U81:U91)+181)</f>
        <v>544.1500000000001</v>
      </c>
      <c r="U92" s="263"/>
      <c r="AF92"/>
      <c r="AG92"/>
    </row>
    <row r="93" spans="1:33" ht="18.75" customHeight="1" thickBot="1">
      <c r="A93" s="496" t="s">
        <v>56</v>
      </c>
      <c r="B93" s="225"/>
      <c r="C93" s="225"/>
      <c r="D93" s="404" t="s">
        <v>42</v>
      </c>
      <c r="E93" s="130">
        <v>0.05</v>
      </c>
      <c r="F93" s="135">
        <f>+E92*F92</f>
        <v>445.5300000000001</v>
      </c>
      <c r="G93" s="132">
        <f>E93*F93</f>
        <v>22.276500000000006</v>
      </c>
      <c r="H93" s="136">
        <f>+E92*H92</f>
        <v>478.80000000000007</v>
      </c>
      <c r="I93" s="132">
        <f>E93*H93</f>
        <v>23.940000000000005</v>
      </c>
      <c r="J93" s="41">
        <f>+E92*J92</f>
        <v>505.2975</v>
      </c>
      <c r="K93" s="44">
        <f>E93*J93</f>
        <v>25.264875000000004</v>
      </c>
      <c r="L93" s="381"/>
      <c r="M93" s="98">
        <v>0.05</v>
      </c>
      <c r="N93" s="101">
        <f>+M92*N92</f>
        <v>277.4625</v>
      </c>
      <c r="O93" s="99">
        <f>M93*N93</f>
        <v>13.873125</v>
      </c>
      <c r="P93" s="102">
        <f>+M92*P92</f>
        <v>390.11250000000007</v>
      </c>
      <c r="Q93" s="99">
        <f>M93*P93</f>
        <v>19.505625000000006</v>
      </c>
      <c r="R93" s="275">
        <f>+M92*R92</f>
        <v>408.11250000000007</v>
      </c>
      <c r="S93" s="276">
        <f>M93*R93</f>
        <v>20.405625000000004</v>
      </c>
      <c r="T93" s="266">
        <f>+M92*T92</f>
        <v>408.11250000000007</v>
      </c>
      <c r="U93" s="263">
        <f t="shared" si="33"/>
        <v>20.405625000000004</v>
      </c>
      <c r="AF93"/>
      <c r="AG93"/>
    </row>
    <row r="94" spans="1:33" ht="18.75" customHeight="1" thickBot="1">
      <c r="A94" s="168" t="s">
        <v>59</v>
      </c>
      <c r="B94" s="222"/>
      <c r="C94" s="222"/>
      <c r="D94" s="407"/>
      <c r="E94" s="152"/>
      <c r="F94" s="159"/>
      <c r="G94" s="153">
        <f>SUM(G80:G93)</f>
        <v>435.3165000000001</v>
      </c>
      <c r="H94" s="154"/>
      <c r="I94" s="153">
        <f>SUM(I80:I93)</f>
        <v>481.34000000000003</v>
      </c>
      <c r="J94" s="161"/>
      <c r="K94" s="368">
        <f>SUM(K80:K93)</f>
        <v>517.994875</v>
      </c>
      <c r="L94" s="380"/>
      <c r="M94" s="156"/>
      <c r="N94" s="160"/>
      <c r="O94" s="157">
        <f>SUM(O80:O93)</f>
        <v>202.82312499999995</v>
      </c>
      <c r="P94" s="158"/>
      <c r="Q94" s="157">
        <f>SUM(Q80:Q93)</f>
        <v>358.65562500000004</v>
      </c>
      <c r="R94" s="277"/>
      <c r="S94" s="278">
        <f>SUM(S80:S93)</f>
        <v>383.555625</v>
      </c>
      <c r="T94" s="277"/>
      <c r="U94" s="278">
        <f>SUM(U80:U93)</f>
        <v>383.555625</v>
      </c>
      <c r="AF94"/>
      <c r="AG94"/>
    </row>
    <row r="95" spans="1:33" ht="18.75" customHeight="1">
      <c r="A95" s="228"/>
      <c r="B95" s="225"/>
      <c r="C95" s="225"/>
      <c r="D95" s="398" t="s">
        <v>39</v>
      </c>
      <c r="E95" s="162" t="s">
        <v>40</v>
      </c>
      <c r="F95" s="163" t="s">
        <v>41</v>
      </c>
      <c r="G95" s="164" t="s">
        <v>42</v>
      </c>
      <c r="H95" s="165" t="s">
        <v>43</v>
      </c>
      <c r="I95" s="164" t="s">
        <v>42</v>
      </c>
      <c r="J95" s="166" t="s">
        <v>41</v>
      </c>
      <c r="K95" s="366" t="s">
        <v>42</v>
      </c>
      <c r="L95" s="379"/>
      <c r="M95" s="162" t="s">
        <v>40</v>
      </c>
      <c r="N95" s="163" t="s">
        <v>41</v>
      </c>
      <c r="O95" s="164" t="s">
        <v>42</v>
      </c>
      <c r="P95" s="165" t="s">
        <v>43</v>
      </c>
      <c r="Q95" s="164" t="s">
        <v>42</v>
      </c>
      <c r="R95" s="439" t="s">
        <v>41</v>
      </c>
      <c r="S95" s="440" t="s">
        <v>42</v>
      </c>
      <c r="T95" s="439" t="s">
        <v>41</v>
      </c>
      <c r="U95" s="440" t="s">
        <v>42</v>
      </c>
      <c r="AF95"/>
      <c r="AG95"/>
    </row>
    <row r="96" spans="1:33" ht="18.75" customHeight="1">
      <c r="A96" s="498" t="s">
        <v>68</v>
      </c>
      <c r="B96" s="455"/>
      <c r="C96" s="455"/>
      <c r="D96" s="456" t="s">
        <v>44</v>
      </c>
      <c r="E96" s="471"/>
      <c r="F96" s="458">
        <v>1500</v>
      </c>
      <c r="G96" s="459"/>
      <c r="H96" s="456">
        <f>'C1-alue'!D12</f>
        <v>1500</v>
      </c>
      <c r="I96" s="459"/>
      <c r="J96" s="456">
        <v>2000</v>
      </c>
      <c r="K96" s="459"/>
      <c r="L96" s="453"/>
      <c r="M96" s="471"/>
      <c r="N96" s="460">
        <v>700</v>
      </c>
      <c r="O96" s="461"/>
      <c r="P96" s="462">
        <f>'C1-alue'!D65</f>
        <v>1000</v>
      </c>
      <c r="Q96" s="461"/>
      <c r="R96" s="463">
        <f>'C1-alue'!D27</f>
        <v>1000</v>
      </c>
      <c r="S96" s="499"/>
      <c r="T96" s="463">
        <f>'C1-alue'!D44</f>
        <v>1000</v>
      </c>
      <c r="U96" s="499"/>
      <c r="AF96"/>
      <c r="AG96"/>
    </row>
    <row r="97" spans="1:33" ht="18.75" customHeight="1">
      <c r="A97" s="496" t="s">
        <v>33</v>
      </c>
      <c r="B97" s="225"/>
      <c r="C97" s="225"/>
      <c r="D97" s="403"/>
      <c r="E97" s="130"/>
      <c r="F97" s="131"/>
      <c r="G97" s="132"/>
      <c r="H97" s="133"/>
      <c r="I97" s="132"/>
      <c r="J97" s="40"/>
      <c r="K97" s="44"/>
      <c r="L97" s="381"/>
      <c r="M97" s="98"/>
      <c r="N97" s="90"/>
      <c r="O97" s="99"/>
      <c r="P97" s="100"/>
      <c r="Q97" s="99"/>
      <c r="R97" s="272"/>
      <c r="S97" s="273"/>
      <c r="T97" s="272"/>
      <c r="U97" s="273"/>
      <c r="AF97"/>
      <c r="AG97"/>
    </row>
    <row r="98" spans="1:33" ht="18.75" customHeight="1">
      <c r="A98" s="496" t="s">
        <v>69</v>
      </c>
      <c r="B98" s="225"/>
      <c r="C98" s="225"/>
      <c r="D98" s="404" t="s">
        <v>44</v>
      </c>
      <c r="E98" s="206">
        <v>5.1</v>
      </c>
      <c r="F98" s="133">
        <v>9</v>
      </c>
      <c r="G98" s="132">
        <f aca="true" t="shared" si="37" ref="G98:G106">E98*F98</f>
        <v>45.9</v>
      </c>
      <c r="H98" s="237">
        <v>9</v>
      </c>
      <c r="I98" s="132">
        <f aca="true" t="shared" si="38" ref="I98:I106">E98*H98</f>
        <v>45.9</v>
      </c>
      <c r="J98" s="16">
        <v>9</v>
      </c>
      <c r="K98" s="44">
        <f aca="true" t="shared" si="39" ref="K98:K106">E98*J98</f>
        <v>45.9</v>
      </c>
      <c r="L98" s="381"/>
      <c r="M98" s="206">
        <v>5.1</v>
      </c>
      <c r="N98" s="100">
        <v>9</v>
      </c>
      <c r="O98" s="87">
        <f aca="true" t="shared" si="40" ref="O98:O106">M98*N98</f>
        <v>45.9</v>
      </c>
      <c r="P98" s="237">
        <v>9</v>
      </c>
      <c r="Q98" s="87">
        <f aca="true" t="shared" si="41" ref="Q98:Q106">M98*P98</f>
        <v>45.9</v>
      </c>
      <c r="R98" s="375">
        <v>9</v>
      </c>
      <c r="S98" s="263">
        <f aca="true" t="shared" si="42" ref="S98:S106">M98*R98</f>
        <v>45.9</v>
      </c>
      <c r="T98" s="375">
        <v>9</v>
      </c>
      <c r="U98" s="263">
        <f aca="true" t="shared" si="43" ref="U98:U108">M98*T98</f>
        <v>45.9</v>
      </c>
      <c r="AF98"/>
      <c r="AG98"/>
    </row>
    <row r="99" spans="1:31" s="35" customFormat="1" ht="18.75" customHeight="1">
      <c r="A99" s="526" t="s">
        <v>171</v>
      </c>
      <c r="B99" s="225"/>
      <c r="C99" s="225"/>
      <c r="D99" s="404" t="s">
        <v>44</v>
      </c>
      <c r="E99" s="209">
        <f>E2</f>
        <v>0.412</v>
      </c>
      <c r="F99" s="133">
        <v>500</v>
      </c>
      <c r="G99" s="132">
        <f t="shared" si="37"/>
        <v>206</v>
      </c>
      <c r="H99" s="237">
        <v>370</v>
      </c>
      <c r="I99" s="132">
        <f>E99*H99</f>
        <v>152.44</v>
      </c>
      <c r="J99" s="16">
        <v>700</v>
      </c>
      <c r="K99" s="44">
        <f t="shared" si="39"/>
        <v>288.4</v>
      </c>
      <c r="L99" s="381" t="s">
        <v>79</v>
      </c>
      <c r="M99" s="211">
        <f>E10</f>
        <v>0.265</v>
      </c>
      <c r="N99" s="86">
        <v>0</v>
      </c>
      <c r="O99" s="87">
        <f t="shared" si="40"/>
        <v>0</v>
      </c>
      <c r="P99" s="233">
        <v>1000</v>
      </c>
      <c r="Q99" s="87">
        <f t="shared" si="41"/>
        <v>265</v>
      </c>
      <c r="R99" s="373">
        <v>1000</v>
      </c>
      <c r="S99" s="263">
        <f t="shared" si="42"/>
        <v>265</v>
      </c>
      <c r="T99" s="373">
        <v>1000</v>
      </c>
      <c r="U99" s="263">
        <f t="shared" si="43"/>
        <v>265</v>
      </c>
      <c r="V99"/>
      <c r="W99" s="7"/>
      <c r="X99" s="7"/>
      <c r="Y99" s="7"/>
      <c r="Z99" s="7"/>
      <c r="AA99" s="7"/>
      <c r="AB99" s="60"/>
      <c r="AC99" s="7"/>
      <c r="AD99" s="56"/>
      <c r="AE99" s="50"/>
    </row>
    <row r="100" spans="1:33" ht="18.75" customHeight="1">
      <c r="A100" s="496" t="s">
        <v>47</v>
      </c>
      <c r="B100" s="225"/>
      <c r="C100" s="225"/>
      <c r="D100" s="404" t="s">
        <v>58</v>
      </c>
      <c r="E100" s="207">
        <v>44</v>
      </c>
      <c r="F100" s="133">
        <v>0</v>
      </c>
      <c r="G100" s="132">
        <f t="shared" si="37"/>
        <v>0</v>
      </c>
      <c r="H100" s="134">
        <v>0.25</v>
      </c>
      <c r="I100" s="132">
        <f t="shared" si="38"/>
        <v>11</v>
      </c>
      <c r="J100" s="16">
        <v>0.5</v>
      </c>
      <c r="K100" s="44">
        <f t="shared" si="39"/>
        <v>22</v>
      </c>
      <c r="L100" s="381"/>
      <c r="M100" s="207">
        <v>44</v>
      </c>
      <c r="N100" s="100">
        <v>0</v>
      </c>
      <c r="O100" s="87">
        <f t="shared" si="40"/>
        <v>0</v>
      </c>
      <c r="P100" s="91">
        <v>0</v>
      </c>
      <c r="Q100" s="87">
        <f t="shared" si="41"/>
        <v>0</v>
      </c>
      <c r="R100" s="264">
        <v>0.25</v>
      </c>
      <c r="S100" s="263">
        <f t="shared" si="42"/>
        <v>11</v>
      </c>
      <c r="T100" s="264">
        <v>0.25</v>
      </c>
      <c r="U100" s="263">
        <f t="shared" si="43"/>
        <v>11</v>
      </c>
      <c r="AF100"/>
      <c r="AG100"/>
    </row>
    <row r="101" spans="1:21" ht="18.75" customHeight="1">
      <c r="A101" s="500" t="s">
        <v>94</v>
      </c>
      <c r="B101" s="225"/>
      <c r="C101" s="225"/>
      <c r="D101" s="400" t="s">
        <v>11</v>
      </c>
      <c r="E101" s="208">
        <v>62</v>
      </c>
      <c r="F101" s="133">
        <v>1</v>
      </c>
      <c r="G101" s="132">
        <f t="shared" si="37"/>
        <v>62</v>
      </c>
      <c r="H101" s="134">
        <v>1</v>
      </c>
      <c r="I101" s="132">
        <f t="shared" si="38"/>
        <v>62</v>
      </c>
      <c r="J101" s="16">
        <v>1</v>
      </c>
      <c r="K101" s="44">
        <f t="shared" si="39"/>
        <v>62</v>
      </c>
      <c r="L101" s="381" t="s">
        <v>81</v>
      </c>
      <c r="M101" s="208">
        <v>0</v>
      </c>
      <c r="N101" s="100">
        <v>0</v>
      </c>
      <c r="O101" s="87">
        <f t="shared" si="40"/>
        <v>0</v>
      </c>
      <c r="P101" s="91">
        <v>0</v>
      </c>
      <c r="Q101" s="87">
        <f t="shared" si="41"/>
        <v>0</v>
      </c>
      <c r="R101" s="264">
        <v>0</v>
      </c>
      <c r="S101" s="263">
        <f t="shared" si="42"/>
        <v>0</v>
      </c>
      <c r="T101" s="264">
        <v>0</v>
      </c>
      <c r="U101" s="263">
        <f t="shared" si="43"/>
        <v>0</v>
      </c>
    </row>
    <row r="102" spans="1:21" ht="18.75" customHeight="1">
      <c r="A102" s="500" t="s">
        <v>94</v>
      </c>
      <c r="B102" s="225"/>
      <c r="C102" s="225"/>
      <c r="D102" s="400" t="s">
        <v>70</v>
      </c>
      <c r="E102" s="208">
        <v>0</v>
      </c>
      <c r="F102" s="133">
        <v>0.7</v>
      </c>
      <c r="G102" s="132">
        <f>E102*F102</f>
        <v>0</v>
      </c>
      <c r="H102" s="134">
        <v>1</v>
      </c>
      <c r="I102" s="132">
        <f>E102*H102</f>
        <v>0</v>
      </c>
      <c r="J102" s="16">
        <v>1.5</v>
      </c>
      <c r="K102" s="44">
        <f>E102*J102</f>
        <v>0</v>
      </c>
      <c r="L102" s="381" t="s">
        <v>80</v>
      </c>
      <c r="M102" s="210">
        <v>7.5</v>
      </c>
      <c r="N102" s="100">
        <v>1</v>
      </c>
      <c r="O102" s="87">
        <f t="shared" si="40"/>
        <v>7.5</v>
      </c>
      <c r="P102" s="91">
        <v>1</v>
      </c>
      <c r="Q102" s="87">
        <f t="shared" si="41"/>
        <v>7.5</v>
      </c>
      <c r="R102" s="264">
        <v>1</v>
      </c>
      <c r="S102" s="263">
        <f t="shared" si="42"/>
        <v>7.5</v>
      </c>
      <c r="T102" s="264">
        <v>1</v>
      </c>
      <c r="U102" s="263">
        <f t="shared" si="43"/>
        <v>7.5</v>
      </c>
    </row>
    <row r="103" spans="1:21" ht="18.75" customHeight="1">
      <c r="A103" s="496" t="s">
        <v>64</v>
      </c>
      <c r="B103" s="225"/>
      <c r="C103" s="225"/>
      <c r="D103" s="404" t="s">
        <v>50</v>
      </c>
      <c r="E103" s="232">
        <v>7.3</v>
      </c>
      <c r="F103" s="133">
        <v>8</v>
      </c>
      <c r="G103" s="132">
        <f t="shared" si="37"/>
        <v>58.4</v>
      </c>
      <c r="H103" s="134">
        <v>8</v>
      </c>
      <c r="I103" s="132">
        <f t="shared" si="38"/>
        <v>58.4</v>
      </c>
      <c r="J103" s="16">
        <v>8</v>
      </c>
      <c r="K103" s="44">
        <f t="shared" si="39"/>
        <v>58.4</v>
      </c>
      <c r="L103" s="381"/>
      <c r="M103" s="232">
        <v>7.3</v>
      </c>
      <c r="N103" s="100">
        <v>8</v>
      </c>
      <c r="O103" s="87">
        <f t="shared" si="40"/>
        <v>58.4</v>
      </c>
      <c r="P103" s="91">
        <v>9</v>
      </c>
      <c r="Q103" s="87">
        <f t="shared" si="41"/>
        <v>65.7</v>
      </c>
      <c r="R103" s="264">
        <v>9</v>
      </c>
      <c r="S103" s="263">
        <f t="shared" si="42"/>
        <v>65.7</v>
      </c>
      <c r="T103" s="264">
        <v>9</v>
      </c>
      <c r="U103" s="263">
        <f t="shared" si="43"/>
        <v>65.7</v>
      </c>
    </row>
    <row r="104" spans="1:32" ht="18.75" customHeight="1">
      <c r="A104" s="496" t="s">
        <v>65</v>
      </c>
      <c r="B104" s="225"/>
      <c r="C104" s="225"/>
      <c r="D104" s="404" t="s">
        <v>50</v>
      </c>
      <c r="E104" s="232">
        <v>7.3</v>
      </c>
      <c r="F104" s="133">
        <v>1.9</v>
      </c>
      <c r="G104" s="132">
        <f t="shared" si="37"/>
        <v>13.87</v>
      </c>
      <c r="H104" s="134">
        <v>1.9</v>
      </c>
      <c r="I104" s="132">
        <f t="shared" si="38"/>
        <v>13.87</v>
      </c>
      <c r="J104" s="16">
        <v>1.9</v>
      </c>
      <c r="K104" s="44">
        <f t="shared" si="39"/>
        <v>13.87</v>
      </c>
      <c r="L104" s="381"/>
      <c r="M104" s="232">
        <v>7.3</v>
      </c>
      <c r="N104" s="100">
        <v>1.9</v>
      </c>
      <c r="O104" s="87">
        <f t="shared" si="40"/>
        <v>13.87</v>
      </c>
      <c r="P104" s="91">
        <v>1.9</v>
      </c>
      <c r="Q104" s="87">
        <f t="shared" si="41"/>
        <v>13.87</v>
      </c>
      <c r="R104" s="264">
        <v>1.9</v>
      </c>
      <c r="S104" s="263">
        <f t="shared" si="42"/>
        <v>13.87</v>
      </c>
      <c r="T104" s="264">
        <v>1.9</v>
      </c>
      <c r="U104" s="263">
        <f t="shared" si="43"/>
        <v>13.87</v>
      </c>
      <c r="AE104" s="50"/>
      <c r="AF104" s="50"/>
    </row>
    <row r="105" spans="1:21" ht="18.75" customHeight="1">
      <c r="A105" s="496" t="s">
        <v>66</v>
      </c>
      <c r="B105" s="225"/>
      <c r="C105" s="225"/>
      <c r="D105" s="404" t="s">
        <v>44</v>
      </c>
      <c r="E105" s="209">
        <v>0.011</v>
      </c>
      <c r="F105" s="133">
        <f>F96</f>
        <v>1500</v>
      </c>
      <c r="G105" s="132">
        <f t="shared" si="37"/>
        <v>16.5</v>
      </c>
      <c r="H105" s="134">
        <f>H96</f>
        <v>1500</v>
      </c>
      <c r="I105" s="132">
        <f t="shared" si="38"/>
        <v>16.5</v>
      </c>
      <c r="J105" s="16">
        <f>J96</f>
        <v>2000</v>
      </c>
      <c r="K105" s="44">
        <f t="shared" si="39"/>
        <v>22</v>
      </c>
      <c r="L105" s="381"/>
      <c r="M105" s="209">
        <v>0.011</v>
      </c>
      <c r="N105" s="100">
        <f>N96</f>
        <v>700</v>
      </c>
      <c r="O105" s="87">
        <f t="shared" si="40"/>
        <v>7.699999999999999</v>
      </c>
      <c r="P105" s="91">
        <f>P96</f>
        <v>1000</v>
      </c>
      <c r="Q105" s="87">
        <f t="shared" si="41"/>
        <v>11</v>
      </c>
      <c r="R105" s="264">
        <f>R96</f>
        <v>1000</v>
      </c>
      <c r="S105" s="263">
        <f t="shared" si="42"/>
        <v>11</v>
      </c>
      <c r="T105" s="264">
        <f>T96</f>
        <v>1000</v>
      </c>
      <c r="U105" s="263">
        <f t="shared" si="43"/>
        <v>11</v>
      </c>
    </row>
    <row r="106" spans="1:21" ht="18.75" customHeight="1">
      <c r="A106" s="496" t="s">
        <v>53</v>
      </c>
      <c r="B106" s="225"/>
      <c r="C106" s="225"/>
      <c r="D106" s="404" t="s">
        <v>44</v>
      </c>
      <c r="E106" s="209">
        <v>0.016</v>
      </c>
      <c r="F106" s="133">
        <f>F96</f>
        <v>1500</v>
      </c>
      <c r="G106" s="132">
        <f t="shared" si="37"/>
        <v>24</v>
      </c>
      <c r="H106" s="134">
        <f>H96</f>
        <v>1500</v>
      </c>
      <c r="I106" s="132">
        <f t="shared" si="38"/>
        <v>24</v>
      </c>
      <c r="J106" s="16">
        <f>J96</f>
        <v>2000</v>
      </c>
      <c r="K106" s="44">
        <f t="shared" si="39"/>
        <v>32</v>
      </c>
      <c r="L106" s="381"/>
      <c r="M106" s="209">
        <v>0.016</v>
      </c>
      <c r="N106" s="100">
        <f>N96</f>
        <v>700</v>
      </c>
      <c r="O106" s="87">
        <f t="shared" si="40"/>
        <v>11.200000000000001</v>
      </c>
      <c r="P106" s="91">
        <f>P96</f>
        <v>1000</v>
      </c>
      <c r="Q106" s="87">
        <f t="shared" si="41"/>
        <v>16</v>
      </c>
      <c r="R106" s="264">
        <f>R96</f>
        <v>1000</v>
      </c>
      <c r="S106" s="263">
        <f t="shared" si="42"/>
        <v>16</v>
      </c>
      <c r="T106" s="264">
        <f>T96</f>
        <v>1000</v>
      </c>
      <c r="U106" s="263">
        <f t="shared" si="43"/>
        <v>16</v>
      </c>
    </row>
    <row r="107" spans="1:21" ht="18.75" customHeight="1">
      <c r="A107" s="496" t="s">
        <v>54</v>
      </c>
      <c r="B107" s="225"/>
      <c r="C107" s="225"/>
      <c r="D107" s="404" t="s">
        <v>42</v>
      </c>
      <c r="E107" s="130">
        <v>0.5</v>
      </c>
      <c r="F107" s="135">
        <f>(SUM(G98:G106)+167)</f>
        <v>593.67</v>
      </c>
      <c r="G107" s="132"/>
      <c r="H107" s="136">
        <f>(SUM(I98:I106)+167)</f>
        <v>551.11</v>
      </c>
      <c r="I107" s="132"/>
      <c r="J107" s="41">
        <f>(SUM(K98:K106)+167)</f>
        <v>711.5699999999999</v>
      </c>
      <c r="K107" s="44"/>
      <c r="L107" s="381"/>
      <c r="M107" s="98">
        <v>0.5</v>
      </c>
      <c r="N107" s="101">
        <f>(SUM(O98:O106)+167)</f>
        <v>311.57</v>
      </c>
      <c r="O107" s="99"/>
      <c r="P107" s="102">
        <f>(SUM(Q98:Q106)+167)</f>
        <v>591.97</v>
      </c>
      <c r="Q107" s="99"/>
      <c r="R107" s="274">
        <f>(SUM(S98:S106)+167)</f>
        <v>602.97</v>
      </c>
      <c r="S107" s="273"/>
      <c r="T107" s="274">
        <f>(SUM(U98:U106)+167)</f>
        <v>602.97</v>
      </c>
      <c r="U107" s="263"/>
    </row>
    <row r="108" spans="1:21" ht="18.75" customHeight="1" thickBot="1">
      <c r="A108" s="496" t="s">
        <v>56</v>
      </c>
      <c r="B108" s="225"/>
      <c r="C108" s="225"/>
      <c r="D108" s="404" t="s">
        <v>42</v>
      </c>
      <c r="E108" s="130">
        <v>0.05</v>
      </c>
      <c r="F108" s="135">
        <f>+E107*F107</f>
        <v>296.835</v>
      </c>
      <c r="G108" s="132">
        <f>E108*F108</f>
        <v>14.84175</v>
      </c>
      <c r="H108" s="136">
        <f>+E107*H107</f>
        <v>275.555</v>
      </c>
      <c r="I108" s="132">
        <f>E108*H108</f>
        <v>13.777750000000001</v>
      </c>
      <c r="J108" s="41">
        <f>+E107*J107</f>
        <v>355.78499999999997</v>
      </c>
      <c r="K108" s="44">
        <f>E108*J108</f>
        <v>17.78925</v>
      </c>
      <c r="L108" s="381"/>
      <c r="M108" s="98">
        <v>0.05</v>
      </c>
      <c r="N108" s="101">
        <f>+M107*N107</f>
        <v>155.785</v>
      </c>
      <c r="O108" s="99">
        <f>M108*N108</f>
        <v>7.78925</v>
      </c>
      <c r="P108" s="102">
        <f>+M107*P107</f>
        <v>295.985</v>
      </c>
      <c r="Q108" s="99">
        <f>M108*P108</f>
        <v>14.79925</v>
      </c>
      <c r="R108" s="274">
        <f>+M107*R107</f>
        <v>301.485</v>
      </c>
      <c r="S108" s="273">
        <f>M108*R108</f>
        <v>15.074250000000001</v>
      </c>
      <c r="T108" s="266">
        <f>+M107*T107</f>
        <v>301.485</v>
      </c>
      <c r="U108" s="263">
        <f t="shared" si="43"/>
        <v>15.074250000000001</v>
      </c>
    </row>
    <row r="109" spans="1:21" ht="18.75" customHeight="1" thickBot="1">
      <c r="A109" s="168" t="s">
        <v>59</v>
      </c>
      <c r="B109" s="222"/>
      <c r="C109" s="222"/>
      <c r="D109" s="407"/>
      <c r="E109" s="152"/>
      <c r="F109" s="159"/>
      <c r="G109" s="153">
        <f>SUM(G97:G108)</f>
        <v>441.51174999999995</v>
      </c>
      <c r="H109" s="154"/>
      <c r="I109" s="153">
        <f>SUM(I97:I108)</f>
        <v>397.88775000000004</v>
      </c>
      <c r="J109" s="161"/>
      <c r="K109" s="368">
        <f>SUM(K97:K108)</f>
        <v>562.35925</v>
      </c>
      <c r="L109" s="380"/>
      <c r="M109" s="156"/>
      <c r="N109" s="160"/>
      <c r="O109" s="157">
        <f>SUM(O97:O108)</f>
        <v>152.35925</v>
      </c>
      <c r="P109" s="158"/>
      <c r="Q109" s="260">
        <f>SUM(Q97:Q108)</f>
        <v>439.76924999999994</v>
      </c>
      <c r="R109" s="450"/>
      <c r="S109" s="262">
        <f>SUM(S97:S108)</f>
        <v>451.04425</v>
      </c>
      <c r="T109" s="450"/>
      <c r="U109" s="262">
        <f>SUM(U97:U108)</f>
        <v>451.04425</v>
      </c>
    </row>
    <row r="110" spans="1:21" ht="18.75" customHeight="1">
      <c r="A110" s="228"/>
      <c r="B110" s="225"/>
      <c r="C110" s="225"/>
      <c r="D110" s="408" t="s">
        <v>39</v>
      </c>
      <c r="E110" s="45" t="s">
        <v>40</v>
      </c>
      <c r="F110" s="62" t="s">
        <v>41</v>
      </c>
      <c r="G110" s="63" t="s">
        <v>42</v>
      </c>
      <c r="H110" s="64" t="s">
        <v>43</v>
      </c>
      <c r="I110" s="63" t="s">
        <v>42</v>
      </c>
      <c r="J110" s="65" t="s">
        <v>41</v>
      </c>
      <c r="K110" s="68" t="s">
        <v>42</v>
      </c>
      <c r="L110" s="386"/>
      <c r="M110" s="45" t="s">
        <v>40</v>
      </c>
      <c r="N110" s="62" t="s">
        <v>41</v>
      </c>
      <c r="O110" s="63" t="s">
        <v>42</v>
      </c>
      <c r="P110" s="64" t="s">
        <v>43</v>
      </c>
      <c r="Q110" s="63" t="s">
        <v>42</v>
      </c>
      <c r="R110" s="65" t="s">
        <v>41</v>
      </c>
      <c r="S110" s="66" t="s">
        <v>42</v>
      </c>
      <c r="T110" s="65" t="s">
        <v>41</v>
      </c>
      <c r="U110" s="66" t="s">
        <v>42</v>
      </c>
    </row>
    <row r="111" spans="1:21" ht="18.75" customHeight="1">
      <c r="A111" s="501" t="s">
        <v>19</v>
      </c>
      <c r="B111" s="455"/>
      <c r="C111" s="455"/>
      <c r="D111" s="463" t="s">
        <v>44</v>
      </c>
      <c r="E111" s="472"/>
      <c r="F111" s="473">
        <v>2500</v>
      </c>
      <c r="G111" s="473"/>
      <c r="H111" s="473">
        <v>3000</v>
      </c>
      <c r="I111" s="473"/>
      <c r="J111" s="473">
        <v>3500</v>
      </c>
      <c r="K111" s="473"/>
      <c r="L111" s="469"/>
      <c r="M111" s="472"/>
      <c r="N111" s="473">
        <v>1500</v>
      </c>
      <c r="O111" s="473"/>
      <c r="P111" s="473">
        <v>2400</v>
      </c>
      <c r="Q111" s="473"/>
      <c r="R111" s="473">
        <f>'C1-alue'!D30</f>
        <v>2500</v>
      </c>
      <c r="S111" s="502"/>
      <c r="T111" s="473">
        <f>'C1-alue'!D47</f>
        <v>2500</v>
      </c>
      <c r="U111" s="502"/>
    </row>
    <row r="112" spans="1:21" ht="18.75" customHeight="1">
      <c r="A112" s="500" t="s">
        <v>33</v>
      </c>
      <c r="B112" s="225"/>
      <c r="C112" s="225"/>
      <c r="D112" s="409"/>
      <c r="E112" s="363"/>
      <c r="F112" s="140"/>
      <c r="G112" s="120"/>
      <c r="H112" s="141"/>
      <c r="I112" s="120"/>
      <c r="J112" s="38"/>
      <c r="K112" s="38"/>
      <c r="L112" s="381"/>
      <c r="M112" s="387"/>
      <c r="N112" s="107"/>
      <c r="O112" s="87"/>
      <c r="P112" s="108"/>
      <c r="Q112" s="87"/>
      <c r="R112" s="280"/>
      <c r="S112" s="263"/>
      <c r="T112" s="280"/>
      <c r="U112" s="263"/>
    </row>
    <row r="113" spans="1:21" ht="18.75" customHeight="1">
      <c r="A113" s="500" t="s">
        <v>92</v>
      </c>
      <c r="B113" s="225"/>
      <c r="C113" s="225"/>
      <c r="D113" s="400" t="s">
        <v>44</v>
      </c>
      <c r="E113" s="239">
        <v>0</v>
      </c>
      <c r="F113" s="142">
        <v>0</v>
      </c>
      <c r="G113" s="142">
        <f>$E113*F113</f>
        <v>0</v>
      </c>
      <c r="H113" s="207">
        <v>0</v>
      </c>
      <c r="I113" s="132">
        <f aca="true" t="shared" si="44" ref="I113:I121">$E113*H113</f>
        <v>0</v>
      </c>
      <c r="J113" s="44">
        <v>0</v>
      </c>
      <c r="K113" s="44">
        <f aca="true" t="shared" si="45" ref="K113:K123">$E113*J113</f>
        <v>0</v>
      </c>
      <c r="L113" s="381"/>
      <c r="M113" s="239">
        <v>0</v>
      </c>
      <c r="N113" s="89">
        <v>0</v>
      </c>
      <c r="O113" s="106">
        <f aca="true" t="shared" si="46" ref="O113:O121">M113*N113</f>
        <v>0</v>
      </c>
      <c r="P113" s="207">
        <v>0</v>
      </c>
      <c r="Q113" s="87">
        <f aca="true" t="shared" si="47" ref="Q113:Q121">M113*P113</f>
        <v>0</v>
      </c>
      <c r="R113" s="376">
        <v>0</v>
      </c>
      <c r="S113" s="263">
        <f aca="true" t="shared" si="48" ref="S113:S121">M113*R113</f>
        <v>0</v>
      </c>
      <c r="T113" s="376">
        <v>0</v>
      </c>
      <c r="U113" s="263">
        <f aca="true" t="shared" si="49" ref="U113:U123">M113*T113</f>
        <v>0</v>
      </c>
    </row>
    <row r="114" spans="1:21" ht="18.75" customHeight="1">
      <c r="A114" s="500" t="s">
        <v>93</v>
      </c>
      <c r="B114" s="225"/>
      <c r="C114" s="225"/>
      <c r="D114" s="400" t="s">
        <v>44</v>
      </c>
      <c r="E114" s="239">
        <v>0.215</v>
      </c>
      <c r="F114" s="123">
        <v>350</v>
      </c>
      <c r="G114" s="142">
        <f>$E114*F114</f>
        <v>75.25</v>
      </c>
      <c r="H114" s="208">
        <v>167</v>
      </c>
      <c r="I114" s="132">
        <f t="shared" si="44"/>
        <v>35.905</v>
      </c>
      <c r="J114" s="38">
        <v>350</v>
      </c>
      <c r="K114" s="44">
        <f t="shared" si="45"/>
        <v>75.25</v>
      </c>
      <c r="L114" s="381"/>
      <c r="M114" s="239">
        <v>0.37</v>
      </c>
      <c r="N114" s="106">
        <v>350</v>
      </c>
      <c r="O114" s="106">
        <f t="shared" si="46"/>
        <v>129.5</v>
      </c>
      <c r="P114" s="208">
        <v>350</v>
      </c>
      <c r="Q114" s="87">
        <f t="shared" si="47"/>
        <v>129.5</v>
      </c>
      <c r="R114" s="377">
        <v>350</v>
      </c>
      <c r="S114" s="263">
        <f t="shared" si="48"/>
        <v>129.5</v>
      </c>
      <c r="T114" s="377">
        <v>350</v>
      </c>
      <c r="U114" s="263">
        <f t="shared" si="49"/>
        <v>129.5</v>
      </c>
    </row>
    <row r="115" spans="1:33" s="35" customFormat="1" ht="18.75" customHeight="1">
      <c r="A115" s="500" t="s">
        <v>94</v>
      </c>
      <c r="B115" s="225"/>
      <c r="C115" s="225"/>
      <c r="D115" s="400" t="s">
        <v>11</v>
      </c>
      <c r="E115" s="239">
        <v>62</v>
      </c>
      <c r="F115" s="143">
        <v>1</v>
      </c>
      <c r="G115" s="132">
        <f aca="true" t="shared" si="50" ref="G115:G123">E115*F115</f>
        <v>62</v>
      </c>
      <c r="H115" s="144">
        <v>1</v>
      </c>
      <c r="I115" s="132">
        <f t="shared" si="44"/>
        <v>62</v>
      </c>
      <c r="J115" s="38">
        <v>1</v>
      </c>
      <c r="K115" s="44">
        <f t="shared" si="45"/>
        <v>62</v>
      </c>
      <c r="L115" s="381" t="s">
        <v>80</v>
      </c>
      <c r="M115" s="210">
        <v>7.5</v>
      </c>
      <c r="N115" s="100">
        <v>1</v>
      </c>
      <c r="O115" s="87">
        <f t="shared" si="46"/>
        <v>7.5</v>
      </c>
      <c r="P115" s="91">
        <v>1</v>
      </c>
      <c r="Q115" s="87">
        <f t="shared" si="47"/>
        <v>7.5</v>
      </c>
      <c r="R115" s="264">
        <v>1</v>
      </c>
      <c r="S115" s="263">
        <f t="shared" si="48"/>
        <v>7.5</v>
      </c>
      <c r="T115" s="264">
        <v>1</v>
      </c>
      <c r="U115" s="263">
        <f t="shared" si="49"/>
        <v>7.5</v>
      </c>
      <c r="V115"/>
      <c r="W115" s="7"/>
      <c r="X115" s="7"/>
      <c r="Y115" s="7"/>
      <c r="Z115" s="7"/>
      <c r="AA115" s="7"/>
      <c r="AB115" s="60"/>
      <c r="AC115" s="7"/>
      <c r="AD115" s="56"/>
      <c r="AE115" s="7"/>
      <c r="AF115" s="7"/>
      <c r="AG115" s="50"/>
    </row>
    <row r="116" spans="1:21" ht="18.75" customHeight="1">
      <c r="A116" s="526" t="s">
        <v>171</v>
      </c>
      <c r="B116" s="225"/>
      <c r="C116" s="225"/>
      <c r="D116" s="400" t="s">
        <v>44</v>
      </c>
      <c r="E116" s="219">
        <f>E2</f>
        <v>0.412</v>
      </c>
      <c r="F116" s="123">
        <v>150</v>
      </c>
      <c r="G116" s="132">
        <f>$E116*F116</f>
        <v>61.8</v>
      </c>
      <c r="H116" s="141">
        <v>200</v>
      </c>
      <c r="I116" s="132">
        <f t="shared" si="44"/>
        <v>82.39999999999999</v>
      </c>
      <c r="J116" s="38">
        <v>250</v>
      </c>
      <c r="K116" s="44">
        <f t="shared" si="45"/>
        <v>103</v>
      </c>
      <c r="L116" s="388" t="s">
        <v>154</v>
      </c>
      <c r="M116" s="210">
        <v>0.1</v>
      </c>
      <c r="N116" s="100">
        <v>350</v>
      </c>
      <c r="O116" s="87">
        <f t="shared" si="46"/>
        <v>35</v>
      </c>
      <c r="P116" s="90">
        <v>350</v>
      </c>
      <c r="Q116" s="87">
        <f t="shared" si="47"/>
        <v>35</v>
      </c>
      <c r="R116" s="272">
        <v>350</v>
      </c>
      <c r="S116" s="263">
        <f t="shared" si="48"/>
        <v>35</v>
      </c>
      <c r="T116" s="272">
        <v>350</v>
      </c>
      <c r="U116" s="263">
        <f t="shared" si="49"/>
        <v>35</v>
      </c>
    </row>
    <row r="117" spans="1:21" ht="18.75" customHeight="1">
      <c r="A117" s="500" t="s">
        <v>95</v>
      </c>
      <c r="B117" s="225"/>
      <c r="C117" s="225"/>
      <c r="D117" s="400"/>
      <c r="E117" s="240">
        <v>44</v>
      </c>
      <c r="F117" s="123">
        <v>0</v>
      </c>
      <c r="G117" s="132">
        <f>$E117*F117</f>
        <v>0</v>
      </c>
      <c r="H117" s="144">
        <v>0.25</v>
      </c>
      <c r="I117" s="132">
        <f t="shared" si="44"/>
        <v>11</v>
      </c>
      <c r="J117" s="43">
        <v>0.5</v>
      </c>
      <c r="K117" s="44">
        <f t="shared" si="45"/>
        <v>22</v>
      </c>
      <c r="L117" s="381"/>
      <c r="M117" s="208">
        <v>44</v>
      </c>
      <c r="N117" s="86">
        <v>0</v>
      </c>
      <c r="O117" s="87">
        <f>M117*N117</f>
        <v>0</v>
      </c>
      <c r="P117" s="88">
        <v>0</v>
      </c>
      <c r="Q117" s="87">
        <f>M117*P117</f>
        <v>0</v>
      </c>
      <c r="R117" s="279">
        <v>0.25</v>
      </c>
      <c r="S117" s="263">
        <f t="shared" si="48"/>
        <v>11</v>
      </c>
      <c r="T117" s="279">
        <v>0.25</v>
      </c>
      <c r="U117" s="263">
        <f t="shared" si="49"/>
        <v>11</v>
      </c>
    </row>
    <row r="118" spans="1:32" ht="18.75" customHeight="1">
      <c r="A118" s="496" t="s">
        <v>64</v>
      </c>
      <c r="B118" s="225"/>
      <c r="C118" s="225"/>
      <c r="D118" s="400" t="s">
        <v>50</v>
      </c>
      <c r="E118" s="232">
        <v>7.3</v>
      </c>
      <c r="F118" s="123">
        <v>8</v>
      </c>
      <c r="G118" s="132">
        <f t="shared" si="50"/>
        <v>58.4</v>
      </c>
      <c r="H118" s="141">
        <v>8</v>
      </c>
      <c r="I118" s="132">
        <f t="shared" si="44"/>
        <v>58.4</v>
      </c>
      <c r="J118" s="38">
        <v>8</v>
      </c>
      <c r="K118" s="44">
        <f t="shared" si="45"/>
        <v>58.4</v>
      </c>
      <c r="L118" s="381"/>
      <c r="M118" s="232">
        <v>7.3</v>
      </c>
      <c r="N118" s="106">
        <v>8</v>
      </c>
      <c r="O118" s="87">
        <f t="shared" si="46"/>
        <v>58.4</v>
      </c>
      <c r="P118" s="108">
        <v>8</v>
      </c>
      <c r="Q118" s="87">
        <f t="shared" si="47"/>
        <v>58.4</v>
      </c>
      <c r="R118" s="280">
        <v>8</v>
      </c>
      <c r="S118" s="263">
        <f t="shared" si="48"/>
        <v>58.4</v>
      </c>
      <c r="T118" s="280">
        <v>8</v>
      </c>
      <c r="U118" s="263">
        <f t="shared" si="49"/>
        <v>58.4</v>
      </c>
      <c r="AE118" s="50"/>
      <c r="AF118" s="50"/>
    </row>
    <row r="119" spans="1:21" ht="18.75" customHeight="1">
      <c r="A119" s="496" t="s">
        <v>65</v>
      </c>
      <c r="B119" s="225"/>
      <c r="C119" s="225"/>
      <c r="D119" s="400" t="s">
        <v>50</v>
      </c>
      <c r="E119" s="232">
        <v>7.3</v>
      </c>
      <c r="F119" s="143">
        <v>1.9</v>
      </c>
      <c r="G119" s="132">
        <f t="shared" si="50"/>
        <v>13.87</v>
      </c>
      <c r="H119" s="145">
        <v>1.9</v>
      </c>
      <c r="I119" s="132">
        <f t="shared" si="44"/>
        <v>13.87</v>
      </c>
      <c r="J119" s="111">
        <v>1.9</v>
      </c>
      <c r="K119" s="44">
        <f t="shared" si="45"/>
        <v>13.87</v>
      </c>
      <c r="L119" s="381"/>
      <c r="M119" s="232">
        <v>7.3</v>
      </c>
      <c r="N119" s="114">
        <v>1.9</v>
      </c>
      <c r="O119" s="87">
        <f t="shared" si="46"/>
        <v>13.87</v>
      </c>
      <c r="P119" s="109">
        <v>1.9</v>
      </c>
      <c r="Q119" s="87">
        <f t="shared" si="47"/>
        <v>13.87</v>
      </c>
      <c r="R119" s="378">
        <v>1.9</v>
      </c>
      <c r="S119" s="263">
        <f t="shared" si="48"/>
        <v>13.87</v>
      </c>
      <c r="T119" s="378">
        <v>1.9</v>
      </c>
      <c r="U119" s="263">
        <f t="shared" si="49"/>
        <v>13.87</v>
      </c>
    </row>
    <row r="120" spans="1:21" ht="18.75" customHeight="1">
      <c r="A120" s="496" t="s">
        <v>66</v>
      </c>
      <c r="B120" s="225"/>
      <c r="C120" s="225"/>
      <c r="D120" s="400" t="s">
        <v>44</v>
      </c>
      <c r="E120" s="209">
        <v>0.022</v>
      </c>
      <c r="F120" s="136">
        <f>F111</f>
        <v>2500</v>
      </c>
      <c r="G120" s="132">
        <f t="shared" si="50"/>
        <v>55</v>
      </c>
      <c r="H120" s="136">
        <f>H111</f>
        <v>3000</v>
      </c>
      <c r="I120" s="132">
        <f t="shared" si="44"/>
        <v>66</v>
      </c>
      <c r="J120" s="41">
        <f>J111</f>
        <v>3500</v>
      </c>
      <c r="K120" s="44">
        <f t="shared" si="45"/>
        <v>77</v>
      </c>
      <c r="L120" s="381"/>
      <c r="M120" s="209">
        <v>0.022</v>
      </c>
      <c r="N120" s="102">
        <f>N111</f>
        <v>1500</v>
      </c>
      <c r="O120" s="87">
        <f t="shared" si="46"/>
        <v>33</v>
      </c>
      <c r="P120" s="102">
        <f>P111</f>
        <v>2400</v>
      </c>
      <c r="Q120" s="87">
        <f t="shared" si="47"/>
        <v>52.8</v>
      </c>
      <c r="R120" s="274">
        <f>R111</f>
        <v>2500</v>
      </c>
      <c r="S120" s="263">
        <f t="shared" si="48"/>
        <v>55</v>
      </c>
      <c r="T120" s="274">
        <f>T111</f>
        <v>2500</v>
      </c>
      <c r="U120" s="263">
        <f t="shared" si="49"/>
        <v>55</v>
      </c>
    </row>
    <row r="121" spans="1:21" ht="18.75" customHeight="1">
      <c r="A121" s="500" t="s">
        <v>53</v>
      </c>
      <c r="B121" s="225"/>
      <c r="C121" s="225"/>
      <c r="D121" s="400" t="s">
        <v>44</v>
      </c>
      <c r="E121" s="209">
        <v>0.016</v>
      </c>
      <c r="F121" s="136">
        <f>F111</f>
        <v>2500</v>
      </c>
      <c r="G121" s="132">
        <f t="shared" si="50"/>
        <v>40</v>
      </c>
      <c r="H121" s="136">
        <f>H111</f>
        <v>3000</v>
      </c>
      <c r="I121" s="132">
        <f t="shared" si="44"/>
        <v>48</v>
      </c>
      <c r="J121" s="41">
        <f>J111</f>
        <v>3500</v>
      </c>
      <c r="K121" s="44">
        <f t="shared" si="45"/>
        <v>56</v>
      </c>
      <c r="L121" s="381"/>
      <c r="M121" s="209">
        <v>0.016</v>
      </c>
      <c r="N121" s="102">
        <f>N111</f>
        <v>1500</v>
      </c>
      <c r="O121" s="87">
        <f t="shared" si="46"/>
        <v>24</v>
      </c>
      <c r="P121" s="102">
        <f>P111</f>
        <v>2400</v>
      </c>
      <c r="Q121" s="87">
        <f t="shared" si="47"/>
        <v>38.4</v>
      </c>
      <c r="R121" s="274">
        <f>R111</f>
        <v>2500</v>
      </c>
      <c r="S121" s="263">
        <f t="shared" si="48"/>
        <v>40</v>
      </c>
      <c r="T121" s="274">
        <f>T111</f>
        <v>2500</v>
      </c>
      <c r="U121" s="263">
        <f t="shared" si="49"/>
        <v>40</v>
      </c>
    </row>
    <row r="122" spans="1:21" ht="18.75" customHeight="1">
      <c r="A122" s="496" t="s">
        <v>54</v>
      </c>
      <c r="B122" s="225"/>
      <c r="C122" s="225"/>
      <c r="D122" s="404" t="s">
        <v>42</v>
      </c>
      <c r="E122" s="130">
        <v>0.5</v>
      </c>
      <c r="F122" s="135">
        <f>(SUM(G112:G121)+181)</f>
        <v>547.3199999999999</v>
      </c>
      <c r="G122" s="132"/>
      <c r="H122" s="136">
        <f>(SUM(I112:I121)+181)</f>
        <v>558.575</v>
      </c>
      <c r="I122" s="132"/>
      <c r="J122" s="41">
        <f>(SUM(K112:K121)+181)</f>
        <v>648.52</v>
      </c>
      <c r="K122" s="44"/>
      <c r="L122" s="381"/>
      <c r="M122" s="98">
        <v>0.5</v>
      </c>
      <c r="N122" s="101">
        <f>(SUM(O112:O121)+181)</f>
        <v>482.27</v>
      </c>
      <c r="O122" s="99"/>
      <c r="P122" s="102">
        <f>(SUM(Q112:Q121)+181)</f>
        <v>516.47</v>
      </c>
      <c r="Q122" s="99"/>
      <c r="R122" s="274">
        <f>(SUM(S112:S121)+181)</f>
        <v>531.27</v>
      </c>
      <c r="S122" s="273"/>
      <c r="T122" s="274">
        <f>(SUM(U112:U121)+181)</f>
        <v>531.27</v>
      </c>
      <c r="U122" s="263"/>
    </row>
    <row r="123" spans="1:21" ht="18.75" customHeight="1" thickBot="1">
      <c r="A123" s="500" t="s">
        <v>56</v>
      </c>
      <c r="B123" s="225"/>
      <c r="C123" s="225"/>
      <c r="D123" s="400" t="s">
        <v>42</v>
      </c>
      <c r="E123" s="130">
        <v>0.05</v>
      </c>
      <c r="F123" s="135">
        <f>+E122*F122</f>
        <v>273.65999999999997</v>
      </c>
      <c r="G123" s="132">
        <f t="shared" si="50"/>
        <v>13.683</v>
      </c>
      <c r="H123" s="136">
        <f>+E122*H122</f>
        <v>279.2875</v>
      </c>
      <c r="I123" s="132">
        <f>$E123*H123</f>
        <v>13.964375000000002</v>
      </c>
      <c r="J123" s="41">
        <f>+E122*J122</f>
        <v>324.26</v>
      </c>
      <c r="K123" s="44">
        <f t="shared" si="45"/>
        <v>16.213</v>
      </c>
      <c r="L123" s="381"/>
      <c r="M123" s="98">
        <v>0.05</v>
      </c>
      <c r="N123" s="101">
        <f>+M122*N122</f>
        <v>241.135</v>
      </c>
      <c r="O123" s="99">
        <f>M123*N123</f>
        <v>12.056750000000001</v>
      </c>
      <c r="P123" s="102">
        <f>+M122*P122</f>
        <v>258.235</v>
      </c>
      <c r="Q123" s="99">
        <f>$E123*P123</f>
        <v>12.911750000000001</v>
      </c>
      <c r="R123" s="274">
        <f>+M122*R122</f>
        <v>265.635</v>
      </c>
      <c r="S123" s="273">
        <f>$E123*R123</f>
        <v>13.28175</v>
      </c>
      <c r="T123" s="266">
        <f>+M122*T122</f>
        <v>265.635</v>
      </c>
      <c r="U123" s="263">
        <f t="shared" si="49"/>
        <v>13.28175</v>
      </c>
    </row>
    <row r="124" spans="1:21" ht="18.75" customHeight="1" thickBot="1">
      <c r="A124" s="168" t="s">
        <v>59</v>
      </c>
      <c r="B124" s="222"/>
      <c r="C124" s="222"/>
      <c r="D124" s="406"/>
      <c r="E124" s="226"/>
      <c r="F124" s="175"/>
      <c r="G124" s="153">
        <f>SUM(G112:G123)</f>
        <v>380.003</v>
      </c>
      <c r="H124" s="176"/>
      <c r="I124" s="153">
        <f>SUM(I112:I123)</f>
        <v>391.539375</v>
      </c>
      <c r="J124" s="368"/>
      <c r="K124" s="368">
        <f>SUM(K112:K123)</f>
        <v>483.733</v>
      </c>
      <c r="L124" s="380"/>
      <c r="M124" s="227"/>
      <c r="N124" s="177"/>
      <c r="O124" s="157">
        <f>SUM(O112:O123)</f>
        <v>313.32675</v>
      </c>
      <c r="P124" s="178"/>
      <c r="Q124" s="157">
        <f>SUM(Q112:Q123)</f>
        <v>348.38174999999995</v>
      </c>
      <c r="R124" s="437"/>
      <c r="S124" s="438">
        <f>SUM(S112:S123)</f>
        <v>363.55174999999997</v>
      </c>
      <c r="T124" s="437"/>
      <c r="U124" s="438">
        <f>SUM(U112:U123)</f>
        <v>363.55174999999997</v>
      </c>
    </row>
    <row r="125" spans="1:21" ht="18.75" customHeight="1">
      <c r="A125" s="228"/>
      <c r="B125" s="225"/>
      <c r="C125" s="225"/>
      <c r="D125" s="408" t="s">
        <v>39</v>
      </c>
      <c r="E125" s="45" t="s">
        <v>40</v>
      </c>
      <c r="F125" s="62" t="s">
        <v>41</v>
      </c>
      <c r="G125" s="63" t="s">
        <v>42</v>
      </c>
      <c r="H125" s="64" t="s">
        <v>43</v>
      </c>
      <c r="I125" s="63" t="s">
        <v>42</v>
      </c>
      <c r="J125" s="65" t="s">
        <v>41</v>
      </c>
      <c r="K125" s="68" t="s">
        <v>42</v>
      </c>
      <c r="L125" s="386"/>
      <c r="M125" s="225"/>
      <c r="N125" s="228"/>
      <c r="O125" s="225"/>
      <c r="P125" s="225"/>
      <c r="Q125" s="389"/>
      <c r="R125" s="441"/>
      <c r="S125" s="442"/>
      <c r="T125" s="441"/>
      <c r="U125" s="442"/>
    </row>
    <row r="126" spans="1:21" ht="18.75" customHeight="1">
      <c r="A126" s="501" t="s">
        <v>96</v>
      </c>
      <c r="B126" s="455"/>
      <c r="C126" s="455"/>
      <c r="D126" s="463" t="s">
        <v>44</v>
      </c>
      <c r="E126" s="472"/>
      <c r="F126" s="473">
        <v>2500</v>
      </c>
      <c r="G126" s="473"/>
      <c r="H126" s="473">
        <f>'C1-alue'!D14</f>
        <v>3500</v>
      </c>
      <c r="I126" s="473"/>
      <c r="J126" s="473">
        <v>3500</v>
      </c>
      <c r="K126" s="473"/>
      <c r="L126" s="474"/>
      <c r="M126" s="472"/>
      <c r="N126" s="473">
        <v>1600</v>
      </c>
      <c r="O126" s="473"/>
      <c r="P126" s="473">
        <f>'C1-alue'!D67</f>
        <v>3000</v>
      </c>
      <c r="Q126" s="473"/>
      <c r="R126" s="473">
        <f>'C1-alue'!D29</f>
        <v>2500</v>
      </c>
      <c r="S126" s="502"/>
      <c r="T126" s="473">
        <v>2500</v>
      </c>
      <c r="U126" s="502"/>
    </row>
    <row r="127" spans="1:21" ht="18.75" customHeight="1">
      <c r="A127" s="500" t="s">
        <v>33</v>
      </c>
      <c r="B127" s="225"/>
      <c r="C127" s="225"/>
      <c r="D127" s="409"/>
      <c r="E127" s="363"/>
      <c r="F127" s="140"/>
      <c r="G127" s="120"/>
      <c r="H127" s="141"/>
      <c r="I127" s="120"/>
      <c r="J127" s="49"/>
      <c r="K127" s="49"/>
      <c r="L127" s="381"/>
      <c r="M127" s="387"/>
      <c r="N127" s="107"/>
      <c r="O127" s="87"/>
      <c r="P127" s="108"/>
      <c r="Q127" s="87"/>
      <c r="R127" s="280"/>
      <c r="S127" s="263"/>
      <c r="T127" s="280"/>
      <c r="U127" s="263"/>
    </row>
    <row r="128" spans="1:21" ht="18.75" customHeight="1">
      <c r="A128" s="500" t="s">
        <v>92</v>
      </c>
      <c r="B128" s="225"/>
      <c r="C128" s="225"/>
      <c r="D128" s="400" t="s">
        <v>44</v>
      </c>
      <c r="E128" s="239">
        <v>0</v>
      </c>
      <c r="F128" s="142">
        <v>0</v>
      </c>
      <c r="G128" s="142">
        <f>$E128*F128</f>
        <v>0</v>
      </c>
      <c r="H128" s="207">
        <v>0</v>
      </c>
      <c r="I128" s="132">
        <f aca="true" t="shared" si="51" ref="I128:I136">$E128*H128</f>
        <v>0</v>
      </c>
      <c r="J128" s="112">
        <v>0</v>
      </c>
      <c r="K128" s="112">
        <f aca="true" t="shared" si="52" ref="K128:K136">$E128*J128</f>
        <v>0</v>
      </c>
      <c r="L128" s="381"/>
      <c r="M128" s="239">
        <v>0</v>
      </c>
      <c r="N128" s="89">
        <v>0</v>
      </c>
      <c r="O128" s="106">
        <f aca="true" t="shared" si="53" ref="O128:O136">M128*N128</f>
        <v>0</v>
      </c>
      <c r="P128" s="207">
        <v>0</v>
      </c>
      <c r="Q128" s="87">
        <f aca="true" t="shared" si="54" ref="Q128:Q136">M128*P128</f>
        <v>0</v>
      </c>
      <c r="R128" s="376">
        <v>0</v>
      </c>
      <c r="S128" s="263">
        <f aca="true" t="shared" si="55" ref="S128:S136">M128*R128</f>
        <v>0</v>
      </c>
      <c r="T128" s="376">
        <v>0</v>
      </c>
      <c r="U128" s="263">
        <f aca="true" t="shared" si="56" ref="U128:U138">M128*T128</f>
        <v>0</v>
      </c>
    </row>
    <row r="129" spans="1:21" ht="18.75" customHeight="1">
      <c r="A129" s="500" t="s">
        <v>96</v>
      </c>
      <c r="B129" s="225"/>
      <c r="C129" s="225"/>
      <c r="D129" s="400" t="s">
        <v>44</v>
      </c>
      <c r="E129" s="239">
        <v>0.22</v>
      </c>
      <c r="F129" s="123">
        <v>220</v>
      </c>
      <c r="G129" s="142">
        <f>$E129*F129</f>
        <v>48.4</v>
      </c>
      <c r="H129" s="208">
        <v>220</v>
      </c>
      <c r="I129" s="132">
        <f t="shared" si="51"/>
        <v>48.4</v>
      </c>
      <c r="J129" s="49">
        <v>220</v>
      </c>
      <c r="K129" s="112">
        <f t="shared" si="52"/>
        <v>48.4</v>
      </c>
      <c r="L129" s="381"/>
      <c r="M129" s="239">
        <v>0.37</v>
      </c>
      <c r="N129" s="106">
        <v>250</v>
      </c>
      <c r="O129" s="106">
        <f t="shared" si="53"/>
        <v>92.5</v>
      </c>
      <c r="P129" s="208">
        <v>250</v>
      </c>
      <c r="Q129" s="87">
        <f t="shared" si="54"/>
        <v>92.5</v>
      </c>
      <c r="R129" s="377">
        <v>250</v>
      </c>
      <c r="S129" s="263">
        <f t="shared" si="55"/>
        <v>92.5</v>
      </c>
      <c r="T129" s="377">
        <v>250</v>
      </c>
      <c r="U129" s="263">
        <f t="shared" si="56"/>
        <v>92.5</v>
      </c>
    </row>
    <row r="130" spans="1:21" ht="18.75" customHeight="1">
      <c r="A130" s="500" t="s">
        <v>94</v>
      </c>
      <c r="B130" s="225"/>
      <c r="C130" s="225"/>
      <c r="D130" s="400" t="s">
        <v>11</v>
      </c>
      <c r="E130" s="239">
        <v>83</v>
      </c>
      <c r="F130" s="143">
        <v>0</v>
      </c>
      <c r="G130" s="142">
        <f>E130*F130</f>
        <v>0</v>
      </c>
      <c r="H130" s="232">
        <v>1</v>
      </c>
      <c r="I130" s="132">
        <f t="shared" si="51"/>
        <v>83</v>
      </c>
      <c r="J130" s="49">
        <v>0</v>
      </c>
      <c r="K130" s="112">
        <f t="shared" si="52"/>
        <v>0</v>
      </c>
      <c r="L130" s="381" t="s">
        <v>80</v>
      </c>
      <c r="M130" s="210">
        <v>7.5</v>
      </c>
      <c r="N130" s="100">
        <v>1</v>
      </c>
      <c r="O130" s="87">
        <f t="shared" si="53"/>
        <v>7.5</v>
      </c>
      <c r="P130" s="91">
        <v>1</v>
      </c>
      <c r="Q130" s="87">
        <f t="shared" si="54"/>
        <v>7.5</v>
      </c>
      <c r="R130" s="264">
        <v>1</v>
      </c>
      <c r="S130" s="263">
        <f t="shared" si="55"/>
        <v>7.5</v>
      </c>
      <c r="T130" s="264">
        <v>1</v>
      </c>
      <c r="U130" s="263">
        <f t="shared" si="56"/>
        <v>7.5</v>
      </c>
    </row>
    <row r="131" spans="1:33" s="35" customFormat="1" ht="18.75" customHeight="1">
      <c r="A131" s="526" t="s">
        <v>171</v>
      </c>
      <c r="B131" s="225"/>
      <c r="C131" s="225"/>
      <c r="D131" s="400" t="s">
        <v>44</v>
      </c>
      <c r="E131" s="219">
        <f>E2</f>
        <v>0.412</v>
      </c>
      <c r="F131" s="123">
        <v>0</v>
      </c>
      <c r="G131" s="142">
        <f>$E131*F131</f>
        <v>0</v>
      </c>
      <c r="H131" s="208">
        <v>167</v>
      </c>
      <c r="I131" s="132">
        <f t="shared" si="51"/>
        <v>68.804</v>
      </c>
      <c r="J131" s="49">
        <v>150</v>
      </c>
      <c r="K131" s="112">
        <f t="shared" si="52"/>
        <v>61.8</v>
      </c>
      <c r="L131" s="388" t="s">
        <v>154</v>
      </c>
      <c r="M131" s="210">
        <v>0.1</v>
      </c>
      <c r="N131" s="100"/>
      <c r="O131" s="87">
        <f t="shared" si="53"/>
        <v>0</v>
      </c>
      <c r="P131" s="90">
        <v>250</v>
      </c>
      <c r="Q131" s="87">
        <f t="shared" si="54"/>
        <v>25</v>
      </c>
      <c r="R131" s="272">
        <v>270</v>
      </c>
      <c r="S131" s="263">
        <f t="shared" si="55"/>
        <v>27</v>
      </c>
      <c r="T131" s="272">
        <v>270</v>
      </c>
      <c r="U131" s="263">
        <f t="shared" si="56"/>
        <v>27</v>
      </c>
      <c r="V131"/>
      <c r="W131" s="7"/>
      <c r="X131" s="7"/>
      <c r="Y131" s="7"/>
      <c r="Z131" s="7"/>
      <c r="AA131" s="7"/>
      <c r="AB131" s="60"/>
      <c r="AC131" s="7"/>
      <c r="AD131" s="56"/>
      <c r="AE131" s="7"/>
      <c r="AF131" s="7"/>
      <c r="AG131" s="50"/>
    </row>
    <row r="132" spans="1:21" ht="18.75" customHeight="1">
      <c r="A132" s="500" t="s">
        <v>95</v>
      </c>
      <c r="B132" s="225"/>
      <c r="C132" s="225"/>
      <c r="D132" s="400"/>
      <c r="E132" s="240">
        <v>44</v>
      </c>
      <c r="F132" s="123">
        <v>0</v>
      </c>
      <c r="G132" s="132">
        <f>$E132*F132</f>
        <v>0</v>
      </c>
      <c r="H132" s="144">
        <v>0.25</v>
      </c>
      <c r="I132" s="132">
        <f t="shared" si="51"/>
        <v>11</v>
      </c>
      <c r="J132" s="45">
        <v>0.5</v>
      </c>
      <c r="K132" s="112">
        <f t="shared" si="52"/>
        <v>22</v>
      </c>
      <c r="L132" s="381"/>
      <c r="M132" s="240">
        <v>44</v>
      </c>
      <c r="N132" s="86">
        <v>0</v>
      </c>
      <c r="O132" s="87">
        <f t="shared" si="53"/>
        <v>0</v>
      </c>
      <c r="P132" s="88">
        <v>0</v>
      </c>
      <c r="Q132" s="87">
        <f t="shared" si="54"/>
        <v>0</v>
      </c>
      <c r="R132" s="279">
        <v>0.25</v>
      </c>
      <c r="S132" s="263">
        <f t="shared" si="55"/>
        <v>11</v>
      </c>
      <c r="T132" s="279">
        <v>0.25</v>
      </c>
      <c r="U132" s="263">
        <f t="shared" si="56"/>
        <v>11</v>
      </c>
    </row>
    <row r="133" spans="1:21" ht="15.75">
      <c r="A133" s="496" t="s">
        <v>64</v>
      </c>
      <c r="B133" s="225"/>
      <c r="C133" s="225"/>
      <c r="D133" s="400" t="s">
        <v>50</v>
      </c>
      <c r="E133" s="232">
        <v>7.3</v>
      </c>
      <c r="F133" s="123">
        <v>8</v>
      </c>
      <c r="G133" s="132">
        <f>E133*F133</f>
        <v>58.4</v>
      </c>
      <c r="H133" s="141">
        <v>8</v>
      </c>
      <c r="I133" s="132">
        <f t="shared" si="51"/>
        <v>58.4</v>
      </c>
      <c r="J133" s="49">
        <v>8</v>
      </c>
      <c r="K133" s="112">
        <f t="shared" si="52"/>
        <v>58.4</v>
      </c>
      <c r="L133" s="381"/>
      <c r="M133" s="232">
        <v>7.3</v>
      </c>
      <c r="N133" s="106">
        <v>8</v>
      </c>
      <c r="O133" s="87">
        <f t="shared" si="53"/>
        <v>58.4</v>
      </c>
      <c r="P133" s="108">
        <v>8</v>
      </c>
      <c r="Q133" s="87">
        <f t="shared" si="54"/>
        <v>58.4</v>
      </c>
      <c r="R133" s="280">
        <v>8</v>
      </c>
      <c r="S133" s="263">
        <f t="shared" si="55"/>
        <v>58.4</v>
      </c>
      <c r="T133" s="280">
        <v>8</v>
      </c>
      <c r="U133" s="263">
        <f t="shared" si="56"/>
        <v>58.4</v>
      </c>
    </row>
    <row r="134" spans="1:21" ht="20.25" customHeight="1">
      <c r="A134" s="496" t="s">
        <v>65</v>
      </c>
      <c r="B134" s="225"/>
      <c r="C134" s="225"/>
      <c r="D134" s="400" t="s">
        <v>50</v>
      </c>
      <c r="E134" s="232">
        <v>7.3</v>
      </c>
      <c r="F134" s="143">
        <v>1.9</v>
      </c>
      <c r="G134" s="132">
        <f>E134*F134</f>
        <v>13.87</v>
      </c>
      <c r="H134" s="145">
        <v>1.9</v>
      </c>
      <c r="I134" s="132">
        <f t="shared" si="51"/>
        <v>13.87</v>
      </c>
      <c r="J134" s="113">
        <v>1.9</v>
      </c>
      <c r="K134" s="112">
        <f t="shared" si="52"/>
        <v>13.87</v>
      </c>
      <c r="L134" s="381"/>
      <c r="M134" s="232">
        <v>7.3</v>
      </c>
      <c r="N134" s="114">
        <v>1.9</v>
      </c>
      <c r="O134" s="87">
        <f t="shared" si="53"/>
        <v>13.87</v>
      </c>
      <c r="P134" s="109">
        <v>1.9</v>
      </c>
      <c r="Q134" s="87">
        <f t="shared" si="54"/>
        <v>13.87</v>
      </c>
      <c r="R134" s="378">
        <v>1.9</v>
      </c>
      <c r="S134" s="263">
        <f t="shared" si="55"/>
        <v>13.87</v>
      </c>
      <c r="T134" s="378">
        <v>1.9</v>
      </c>
      <c r="U134" s="263">
        <f t="shared" si="56"/>
        <v>13.87</v>
      </c>
    </row>
    <row r="135" spans="1:32" ht="15.75">
      <c r="A135" s="496" t="s">
        <v>66</v>
      </c>
      <c r="B135" s="225"/>
      <c r="C135" s="225"/>
      <c r="D135" s="400" t="s">
        <v>44</v>
      </c>
      <c r="E135" s="209">
        <v>0.022</v>
      </c>
      <c r="F135" s="136">
        <f>F126</f>
        <v>2500</v>
      </c>
      <c r="G135" s="132">
        <f>E135*F135</f>
        <v>55</v>
      </c>
      <c r="H135" s="136">
        <f>H126</f>
        <v>3500</v>
      </c>
      <c r="I135" s="132">
        <f t="shared" si="51"/>
        <v>77</v>
      </c>
      <c r="J135" s="70">
        <f>J126</f>
        <v>3500</v>
      </c>
      <c r="K135" s="112">
        <f t="shared" si="52"/>
        <v>77</v>
      </c>
      <c r="L135" s="381"/>
      <c r="M135" s="209">
        <v>0.022</v>
      </c>
      <c r="N135" s="102">
        <f>N126</f>
        <v>1600</v>
      </c>
      <c r="O135" s="87">
        <f t="shared" si="53"/>
        <v>35.199999999999996</v>
      </c>
      <c r="P135" s="102">
        <f>P126</f>
        <v>3000</v>
      </c>
      <c r="Q135" s="87">
        <f t="shared" si="54"/>
        <v>66</v>
      </c>
      <c r="R135" s="274">
        <f>R126</f>
        <v>2500</v>
      </c>
      <c r="S135" s="263">
        <f t="shared" si="55"/>
        <v>55</v>
      </c>
      <c r="T135" s="274">
        <f>T126</f>
        <v>2500</v>
      </c>
      <c r="U135" s="263">
        <f t="shared" si="56"/>
        <v>55</v>
      </c>
      <c r="AE135" s="55"/>
      <c r="AF135" s="55"/>
    </row>
    <row r="136" spans="1:32" ht="15.75">
      <c r="A136" s="500" t="s">
        <v>53</v>
      </c>
      <c r="B136" s="225"/>
      <c r="C136" s="225"/>
      <c r="D136" s="400" t="s">
        <v>44</v>
      </c>
      <c r="E136" s="209">
        <v>0.016</v>
      </c>
      <c r="F136" s="136">
        <f>F126</f>
        <v>2500</v>
      </c>
      <c r="G136" s="132">
        <f>E136*F136</f>
        <v>40</v>
      </c>
      <c r="H136" s="136">
        <f>H126</f>
        <v>3500</v>
      </c>
      <c r="I136" s="132">
        <f t="shared" si="51"/>
        <v>56</v>
      </c>
      <c r="J136" s="70">
        <f>J126</f>
        <v>3500</v>
      </c>
      <c r="K136" s="112">
        <f t="shared" si="52"/>
        <v>56</v>
      </c>
      <c r="L136" s="381"/>
      <c r="M136" s="209">
        <v>0.016</v>
      </c>
      <c r="N136" s="102">
        <f>N126</f>
        <v>1600</v>
      </c>
      <c r="O136" s="87">
        <f t="shared" si="53"/>
        <v>25.6</v>
      </c>
      <c r="P136" s="102">
        <f>P126</f>
        <v>3000</v>
      </c>
      <c r="Q136" s="87">
        <f t="shared" si="54"/>
        <v>48</v>
      </c>
      <c r="R136" s="274">
        <f>R126</f>
        <v>2500</v>
      </c>
      <c r="S136" s="263">
        <f t="shared" si="55"/>
        <v>40</v>
      </c>
      <c r="T136" s="274">
        <f>T126</f>
        <v>2500</v>
      </c>
      <c r="U136" s="263">
        <f t="shared" si="56"/>
        <v>40</v>
      </c>
      <c r="AE136" s="55"/>
      <c r="AF136" s="55"/>
    </row>
    <row r="137" spans="1:21" ht="15.75">
      <c r="A137" s="496" t="s">
        <v>54</v>
      </c>
      <c r="B137" s="225"/>
      <c r="C137" s="225"/>
      <c r="D137" s="404" t="s">
        <v>42</v>
      </c>
      <c r="E137" s="130">
        <v>0.5</v>
      </c>
      <c r="F137" s="135">
        <f>(SUM(G127:G136)+181)</f>
        <v>396.67</v>
      </c>
      <c r="G137" s="132"/>
      <c r="H137" s="136">
        <f>(SUM(I127:I136)+181)</f>
        <v>597.4739999999999</v>
      </c>
      <c r="I137" s="132"/>
      <c r="J137" s="70">
        <f>(SUM(K127:K136)+181)</f>
        <v>518.47</v>
      </c>
      <c r="K137" s="112"/>
      <c r="L137" s="381"/>
      <c r="M137" s="98">
        <v>0.5</v>
      </c>
      <c r="N137" s="101">
        <f>(SUM(O127:O136)+181)</f>
        <v>414.07</v>
      </c>
      <c r="O137" s="99"/>
      <c r="P137" s="102">
        <f>(SUM(Q127:Q136)+181)</f>
        <v>492.27</v>
      </c>
      <c r="Q137" s="99"/>
      <c r="R137" s="274">
        <f>(SUM(S127:S136)+181)</f>
        <v>486.27</v>
      </c>
      <c r="S137" s="273"/>
      <c r="T137" s="274">
        <f>(SUM(U127:U136)+181)</f>
        <v>486.27</v>
      </c>
      <c r="U137" s="263"/>
    </row>
    <row r="138" spans="1:21" ht="19.5" thickBot="1">
      <c r="A138" s="500" t="s">
        <v>56</v>
      </c>
      <c r="B138" s="225"/>
      <c r="C138" s="225"/>
      <c r="D138" s="400" t="s">
        <v>42</v>
      </c>
      <c r="E138" s="130">
        <v>0.05</v>
      </c>
      <c r="F138" s="135">
        <f>+E137*F137</f>
        <v>198.335</v>
      </c>
      <c r="G138" s="132">
        <f>E138*F138</f>
        <v>9.91675</v>
      </c>
      <c r="H138" s="136">
        <f>+E137*H137</f>
        <v>298.73699999999997</v>
      </c>
      <c r="I138" s="132">
        <f>$E138*H138</f>
        <v>14.93685</v>
      </c>
      <c r="J138" s="70">
        <f>+E137*J137</f>
        <v>259.235</v>
      </c>
      <c r="K138" s="112">
        <f>$E138*J138</f>
        <v>12.961750000000002</v>
      </c>
      <c r="L138" s="390"/>
      <c r="M138" s="98">
        <v>0.05</v>
      </c>
      <c r="N138" s="101">
        <f>+M137*N137</f>
        <v>207.035</v>
      </c>
      <c r="O138" s="99">
        <f>M138*N138</f>
        <v>10.351750000000001</v>
      </c>
      <c r="P138" s="102">
        <f>+M137*P137</f>
        <v>246.135</v>
      </c>
      <c r="Q138" s="99">
        <f>$E138*P138</f>
        <v>12.306750000000001</v>
      </c>
      <c r="R138" s="274">
        <f>+M137*R137</f>
        <v>243.135</v>
      </c>
      <c r="S138" s="273">
        <f>$E138*R138</f>
        <v>12.15675</v>
      </c>
      <c r="T138" s="266">
        <f>+M137*T137</f>
        <v>243.135</v>
      </c>
      <c r="U138" s="263">
        <f t="shared" si="56"/>
        <v>12.15675</v>
      </c>
    </row>
    <row r="139" spans="1:21" ht="18.75" thickBot="1">
      <c r="A139" s="168" t="s">
        <v>59</v>
      </c>
      <c r="B139" s="222"/>
      <c r="C139" s="222"/>
      <c r="D139" s="406"/>
      <c r="E139" s="226"/>
      <c r="F139" s="175"/>
      <c r="G139" s="153">
        <f>SUM(G127:G138)</f>
        <v>225.58675000000002</v>
      </c>
      <c r="H139" s="176"/>
      <c r="I139" s="153">
        <f>SUM(I127:I138)</f>
        <v>431.41085</v>
      </c>
      <c r="J139" s="369"/>
      <c r="K139" s="369">
        <f>SUM(K127:K138)</f>
        <v>350.43175</v>
      </c>
      <c r="L139" s="380"/>
      <c r="M139" s="227"/>
      <c r="N139" s="177"/>
      <c r="O139" s="157">
        <f>SUM(O127:O138)</f>
        <v>243.42175</v>
      </c>
      <c r="P139" s="178"/>
      <c r="Q139" s="260">
        <f>SUM(Q127:Q138)</f>
        <v>323.57675</v>
      </c>
      <c r="R139" s="449"/>
      <c r="S139" s="262">
        <f>SUM(S127:S138)</f>
        <v>317.42674999999997</v>
      </c>
      <c r="T139" s="449"/>
      <c r="U139" s="262">
        <f>SUM(U127:U138)</f>
        <v>317.42674999999997</v>
      </c>
    </row>
    <row r="140" spans="1:21" ht="15.75">
      <c r="A140" s="228"/>
      <c r="B140" s="225"/>
      <c r="C140" s="225"/>
      <c r="D140" s="408" t="s">
        <v>39</v>
      </c>
      <c r="E140" s="45" t="s">
        <v>40</v>
      </c>
      <c r="F140" s="62" t="s">
        <v>41</v>
      </c>
      <c r="G140" s="63" t="s">
        <v>42</v>
      </c>
      <c r="H140" s="64" t="s">
        <v>43</v>
      </c>
      <c r="I140" s="63" t="s">
        <v>42</v>
      </c>
      <c r="J140" s="65" t="s">
        <v>41</v>
      </c>
      <c r="K140" s="68" t="s">
        <v>42</v>
      </c>
      <c r="L140" s="386"/>
      <c r="M140" s="45" t="s">
        <v>40</v>
      </c>
      <c r="N140" s="62" t="s">
        <v>41</v>
      </c>
      <c r="O140" s="63" t="s">
        <v>42</v>
      </c>
      <c r="P140" s="64" t="s">
        <v>43</v>
      </c>
      <c r="Q140" s="63" t="s">
        <v>42</v>
      </c>
      <c r="R140" s="65" t="s">
        <v>41</v>
      </c>
      <c r="S140" s="66" t="s">
        <v>42</v>
      </c>
      <c r="T140" s="65" t="s">
        <v>41</v>
      </c>
      <c r="U140" s="66" t="s">
        <v>42</v>
      </c>
    </row>
    <row r="141" spans="1:21" ht="18.75">
      <c r="A141" s="501" t="s">
        <v>149</v>
      </c>
      <c r="B141" s="455"/>
      <c r="C141" s="455"/>
      <c r="D141" s="463" t="s">
        <v>44</v>
      </c>
      <c r="E141" s="472"/>
      <c r="F141" s="473">
        <v>3000</v>
      </c>
      <c r="G141" s="473"/>
      <c r="H141" s="473">
        <v>4000</v>
      </c>
      <c r="I141" s="473"/>
      <c r="J141" s="473">
        <v>5000</v>
      </c>
      <c r="K141" s="473"/>
      <c r="L141" s="469"/>
      <c r="M141" s="472"/>
      <c r="N141" s="473">
        <v>2000</v>
      </c>
      <c r="O141" s="473"/>
      <c r="P141" s="473">
        <v>4000</v>
      </c>
      <c r="Q141" s="473"/>
      <c r="R141" s="473">
        <v>3000</v>
      </c>
      <c r="S141" s="502"/>
      <c r="T141" s="473">
        <f>'C1-alue'!D46</f>
        <v>2500</v>
      </c>
      <c r="U141" s="502"/>
    </row>
    <row r="142" spans="1:21" ht="15.75">
      <c r="A142" s="500" t="s">
        <v>33</v>
      </c>
      <c r="B142" s="225"/>
      <c r="C142" s="225"/>
      <c r="D142" s="409"/>
      <c r="E142" s="363"/>
      <c r="F142" s="140"/>
      <c r="G142" s="120"/>
      <c r="H142" s="141"/>
      <c r="I142" s="120"/>
      <c r="J142" s="38"/>
      <c r="K142" s="38"/>
      <c r="L142" s="381"/>
      <c r="M142" s="387"/>
      <c r="N142" s="107"/>
      <c r="O142" s="87"/>
      <c r="P142" s="108"/>
      <c r="Q142" s="87"/>
      <c r="R142" s="280"/>
      <c r="S142" s="263"/>
      <c r="T142" s="280"/>
      <c r="U142" s="263"/>
    </row>
    <row r="143" spans="1:21" ht="15.75">
      <c r="A143" s="500" t="s">
        <v>151</v>
      </c>
      <c r="B143" s="225"/>
      <c r="C143" s="225"/>
      <c r="D143" s="400" t="s">
        <v>44</v>
      </c>
      <c r="E143" s="239">
        <v>0.33</v>
      </c>
      <c r="F143" s="142">
        <v>120</v>
      </c>
      <c r="G143" s="142">
        <f>$E143*F143</f>
        <v>39.6</v>
      </c>
      <c r="H143" s="207">
        <v>120</v>
      </c>
      <c r="I143" s="132">
        <f aca="true" t="shared" si="57" ref="I143:I151">$E143*H143</f>
        <v>39.6</v>
      </c>
      <c r="J143" s="44">
        <v>120</v>
      </c>
      <c r="K143" s="44">
        <f aca="true" t="shared" si="58" ref="K143:K151">$E143*J143</f>
        <v>39.6</v>
      </c>
      <c r="L143" s="381"/>
      <c r="M143" s="239">
        <v>0.35</v>
      </c>
      <c r="N143" s="89">
        <v>120</v>
      </c>
      <c r="O143" s="106">
        <f aca="true" t="shared" si="59" ref="O143:O151">M143*N143</f>
        <v>42</v>
      </c>
      <c r="P143" s="207">
        <v>120</v>
      </c>
      <c r="Q143" s="87">
        <f aca="true" t="shared" si="60" ref="Q143:Q151">M143*P143</f>
        <v>42</v>
      </c>
      <c r="R143" s="376">
        <v>120</v>
      </c>
      <c r="S143" s="263">
        <f aca="true" t="shared" si="61" ref="S143:S151">M143*R143</f>
        <v>42</v>
      </c>
      <c r="T143" s="376">
        <v>120</v>
      </c>
      <c r="U143" s="263">
        <f aca="true" t="shared" si="62" ref="U143:U153">M143*T143</f>
        <v>42</v>
      </c>
    </row>
    <row r="144" spans="1:21" ht="15.75">
      <c r="A144" s="500" t="s">
        <v>152</v>
      </c>
      <c r="B144" s="225"/>
      <c r="C144" s="225"/>
      <c r="D144" s="400" t="s">
        <v>44</v>
      </c>
      <c r="E144" s="239">
        <v>0.215</v>
      </c>
      <c r="F144" s="123">
        <v>150</v>
      </c>
      <c r="G144" s="142">
        <f>$E144*F144</f>
        <v>32.25</v>
      </c>
      <c r="H144" s="208">
        <v>150</v>
      </c>
      <c r="I144" s="132">
        <f t="shared" si="57"/>
        <v>32.25</v>
      </c>
      <c r="J144" s="38">
        <v>150</v>
      </c>
      <c r="K144" s="44">
        <f t="shared" si="58"/>
        <v>32.25</v>
      </c>
      <c r="L144" s="381"/>
      <c r="M144" s="239">
        <v>0.37</v>
      </c>
      <c r="N144" s="106">
        <v>150</v>
      </c>
      <c r="O144" s="106">
        <f t="shared" si="59"/>
        <v>55.5</v>
      </c>
      <c r="P144" s="208">
        <v>150</v>
      </c>
      <c r="Q144" s="87">
        <f t="shared" si="60"/>
        <v>55.5</v>
      </c>
      <c r="R144" s="377">
        <v>150</v>
      </c>
      <c r="S144" s="263">
        <f t="shared" si="61"/>
        <v>55.5</v>
      </c>
      <c r="T144" s="377">
        <v>150</v>
      </c>
      <c r="U144" s="263">
        <f t="shared" si="62"/>
        <v>55.5</v>
      </c>
    </row>
    <row r="145" spans="1:21" ht="15.75">
      <c r="A145" s="500" t="s">
        <v>94</v>
      </c>
      <c r="B145" s="225"/>
      <c r="C145" s="225"/>
      <c r="D145" s="400" t="s">
        <v>11</v>
      </c>
      <c r="E145" s="239">
        <v>29</v>
      </c>
      <c r="F145" s="143">
        <v>1</v>
      </c>
      <c r="G145" s="142">
        <f>E145*F145</f>
        <v>29</v>
      </c>
      <c r="H145" s="232">
        <v>1</v>
      </c>
      <c r="I145" s="132">
        <f t="shared" si="57"/>
        <v>29</v>
      </c>
      <c r="J145" s="38">
        <v>1</v>
      </c>
      <c r="K145" s="44">
        <f t="shared" si="58"/>
        <v>29</v>
      </c>
      <c r="L145" s="381" t="s">
        <v>80</v>
      </c>
      <c r="M145" s="210">
        <v>7.5</v>
      </c>
      <c r="N145" s="100">
        <v>1</v>
      </c>
      <c r="O145" s="87">
        <f t="shared" si="59"/>
        <v>7.5</v>
      </c>
      <c r="P145" s="91">
        <v>1</v>
      </c>
      <c r="Q145" s="87">
        <f t="shared" si="60"/>
        <v>7.5</v>
      </c>
      <c r="R145" s="264">
        <v>1</v>
      </c>
      <c r="S145" s="263">
        <f t="shared" si="61"/>
        <v>7.5</v>
      </c>
      <c r="T145" s="264">
        <v>1</v>
      </c>
      <c r="U145" s="263">
        <f t="shared" si="62"/>
        <v>7.5</v>
      </c>
    </row>
    <row r="146" spans="1:21" ht="15.75">
      <c r="A146" s="526" t="s">
        <v>171</v>
      </c>
      <c r="B146" s="225"/>
      <c r="C146" s="225"/>
      <c r="D146" s="400" t="s">
        <v>44</v>
      </c>
      <c r="E146" s="219">
        <f>E2</f>
        <v>0.412</v>
      </c>
      <c r="F146" s="123">
        <v>300</v>
      </c>
      <c r="G146" s="142">
        <f>$E146*F146</f>
        <v>123.6</v>
      </c>
      <c r="H146" s="208">
        <v>333</v>
      </c>
      <c r="I146" s="132">
        <f t="shared" si="57"/>
        <v>137.196</v>
      </c>
      <c r="J146" s="38">
        <v>400</v>
      </c>
      <c r="K146" s="44">
        <f t="shared" si="58"/>
        <v>164.79999999999998</v>
      </c>
      <c r="L146" s="388" t="s">
        <v>154</v>
      </c>
      <c r="M146" s="210">
        <v>0.1</v>
      </c>
      <c r="N146" s="100">
        <v>0</v>
      </c>
      <c r="O146" s="87">
        <f t="shared" si="59"/>
        <v>0</v>
      </c>
      <c r="P146" s="91">
        <v>0</v>
      </c>
      <c r="Q146" s="87">
        <f t="shared" si="60"/>
        <v>0</v>
      </c>
      <c r="R146" s="264">
        <v>0</v>
      </c>
      <c r="S146" s="263">
        <f t="shared" si="61"/>
        <v>0</v>
      </c>
      <c r="T146" s="264">
        <v>0</v>
      </c>
      <c r="U146" s="263">
        <f t="shared" si="62"/>
        <v>0</v>
      </c>
    </row>
    <row r="147" spans="1:21" ht="15.75">
      <c r="A147" s="500" t="s">
        <v>95</v>
      </c>
      <c r="B147" s="225"/>
      <c r="C147" s="225"/>
      <c r="D147" s="400"/>
      <c r="E147" s="240">
        <v>44</v>
      </c>
      <c r="F147" s="123">
        <v>0</v>
      </c>
      <c r="G147" s="132">
        <f>$E147*F147</f>
        <v>0</v>
      </c>
      <c r="H147" s="144">
        <v>0.25</v>
      </c>
      <c r="I147" s="132">
        <f t="shared" si="57"/>
        <v>11</v>
      </c>
      <c r="J147" s="43">
        <v>0.5</v>
      </c>
      <c r="K147" s="44">
        <f t="shared" si="58"/>
        <v>22</v>
      </c>
      <c r="L147" s="381"/>
      <c r="M147" s="240">
        <v>44</v>
      </c>
      <c r="N147" s="86">
        <v>0</v>
      </c>
      <c r="O147" s="87">
        <f t="shared" si="59"/>
        <v>0</v>
      </c>
      <c r="P147" s="88">
        <v>0</v>
      </c>
      <c r="Q147" s="87">
        <f t="shared" si="60"/>
        <v>0</v>
      </c>
      <c r="R147" s="279">
        <v>0.25</v>
      </c>
      <c r="S147" s="263">
        <f t="shared" si="61"/>
        <v>11</v>
      </c>
      <c r="T147" s="279">
        <v>0.25</v>
      </c>
      <c r="U147" s="263">
        <f t="shared" si="62"/>
        <v>11</v>
      </c>
    </row>
    <row r="148" spans="1:21" ht="15.75">
      <c r="A148" s="496" t="s">
        <v>64</v>
      </c>
      <c r="B148" s="225"/>
      <c r="C148" s="225"/>
      <c r="D148" s="400" t="s">
        <v>50</v>
      </c>
      <c r="E148" s="232">
        <v>7.3</v>
      </c>
      <c r="F148" s="123">
        <v>8</v>
      </c>
      <c r="G148" s="132">
        <f>E148*F148</f>
        <v>58.4</v>
      </c>
      <c r="H148" s="141">
        <v>8</v>
      </c>
      <c r="I148" s="132">
        <f t="shared" si="57"/>
        <v>58.4</v>
      </c>
      <c r="J148" s="38">
        <v>8</v>
      </c>
      <c r="K148" s="44">
        <f t="shared" si="58"/>
        <v>58.4</v>
      </c>
      <c r="L148" s="381"/>
      <c r="M148" s="232">
        <v>7.3</v>
      </c>
      <c r="N148" s="106">
        <v>8</v>
      </c>
      <c r="O148" s="87">
        <f t="shared" si="59"/>
        <v>58.4</v>
      </c>
      <c r="P148" s="108">
        <v>8</v>
      </c>
      <c r="Q148" s="87">
        <f t="shared" si="60"/>
        <v>58.4</v>
      </c>
      <c r="R148" s="280">
        <v>8</v>
      </c>
      <c r="S148" s="263">
        <f t="shared" si="61"/>
        <v>58.4</v>
      </c>
      <c r="T148" s="280">
        <v>8</v>
      </c>
      <c r="U148" s="263">
        <f t="shared" si="62"/>
        <v>58.4</v>
      </c>
    </row>
    <row r="149" spans="1:21" ht="15.75">
      <c r="A149" s="496" t="s">
        <v>65</v>
      </c>
      <c r="B149" s="225"/>
      <c r="C149" s="225"/>
      <c r="D149" s="400" t="s">
        <v>50</v>
      </c>
      <c r="E149" s="232">
        <v>7.3</v>
      </c>
      <c r="F149" s="143">
        <v>1.9</v>
      </c>
      <c r="G149" s="132">
        <f>E149*F149</f>
        <v>13.87</v>
      </c>
      <c r="H149" s="145">
        <v>1.9</v>
      </c>
      <c r="I149" s="132">
        <f t="shared" si="57"/>
        <v>13.87</v>
      </c>
      <c r="J149" s="111">
        <v>1.9</v>
      </c>
      <c r="K149" s="44">
        <f t="shared" si="58"/>
        <v>13.87</v>
      </c>
      <c r="L149" s="381"/>
      <c r="M149" s="232">
        <v>7.3</v>
      </c>
      <c r="N149" s="114">
        <v>1.9</v>
      </c>
      <c r="O149" s="87">
        <f t="shared" si="59"/>
        <v>13.87</v>
      </c>
      <c r="P149" s="109">
        <v>1.9</v>
      </c>
      <c r="Q149" s="87">
        <f t="shared" si="60"/>
        <v>13.87</v>
      </c>
      <c r="R149" s="378">
        <v>1.9</v>
      </c>
      <c r="S149" s="263">
        <f t="shared" si="61"/>
        <v>13.87</v>
      </c>
      <c r="T149" s="378">
        <v>1.9</v>
      </c>
      <c r="U149" s="263">
        <f t="shared" si="62"/>
        <v>13.87</v>
      </c>
    </row>
    <row r="150" spans="1:21" ht="15.75">
      <c r="A150" s="496" t="s">
        <v>66</v>
      </c>
      <c r="B150" s="225"/>
      <c r="C150" s="225"/>
      <c r="D150" s="400" t="s">
        <v>44</v>
      </c>
      <c r="E150" s="209">
        <v>0.015</v>
      </c>
      <c r="F150" s="136">
        <f>F141</f>
        <v>3000</v>
      </c>
      <c r="G150" s="132">
        <f>E150*F150</f>
        <v>45</v>
      </c>
      <c r="H150" s="136">
        <f>H141</f>
        <v>4000</v>
      </c>
      <c r="I150" s="132">
        <f t="shared" si="57"/>
        <v>60</v>
      </c>
      <c r="J150" s="41">
        <f>J141</f>
        <v>5000</v>
      </c>
      <c r="K150" s="44">
        <f t="shared" si="58"/>
        <v>75</v>
      </c>
      <c r="L150" s="381"/>
      <c r="M150" s="209">
        <v>0.015</v>
      </c>
      <c r="N150" s="102">
        <f>N141</f>
        <v>2000</v>
      </c>
      <c r="O150" s="87">
        <f t="shared" si="59"/>
        <v>30</v>
      </c>
      <c r="P150" s="102">
        <f>P141</f>
        <v>4000</v>
      </c>
      <c r="Q150" s="87">
        <f t="shared" si="60"/>
        <v>60</v>
      </c>
      <c r="R150" s="274">
        <f>R141</f>
        <v>3000</v>
      </c>
      <c r="S150" s="263">
        <f t="shared" si="61"/>
        <v>45</v>
      </c>
      <c r="T150" s="274">
        <f>T141</f>
        <v>2500</v>
      </c>
      <c r="U150" s="263">
        <f t="shared" si="62"/>
        <v>37.5</v>
      </c>
    </row>
    <row r="151" spans="1:21" ht="15.75">
      <c r="A151" s="500" t="s">
        <v>53</v>
      </c>
      <c r="B151" s="225"/>
      <c r="C151" s="225"/>
      <c r="D151" s="400" t="s">
        <v>44</v>
      </c>
      <c r="E151" s="209">
        <v>0.016</v>
      </c>
      <c r="F151" s="136">
        <f>F141</f>
        <v>3000</v>
      </c>
      <c r="G151" s="132">
        <f>E151*F151</f>
        <v>48</v>
      </c>
      <c r="H151" s="136">
        <f>H141</f>
        <v>4000</v>
      </c>
      <c r="I151" s="132">
        <f t="shared" si="57"/>
        <v>64</v>
      </c>
      <c r="J151" s="41">
        <f>J141</f>
        <v>5000</v>
      </c>
      <c r="K151" s="44">
        <f t="shared" si="58"/>
        <v>80</v>
      </c>
      <c r="L151" s="381"/>
      <c r="M151" s="209">
        <v>0.016</v>
      </c>
      <c r="N151" s="102">
        <f>N141</f>
        <v>2000</v>
      </c>
      <c r="O151" s="87">
        <f t="shared" si="59"/>
        <v>32</v>
      </c>
      <c r="P151" s="102">
        <f>P141</f>
        <v>4000</v>
      </c>
      <c r="Q151" s="87">
        <f t="shared" si="60"/>
        <v>64</v>
      </c>
      <c r="R151" s="274">
        <f>R141</f>
        <v>3000</v>
      </c>
      <c r="S151" s="263">
        <f t="shared" si="61"/>
        <v>48</v>
      </c>
      <c r="T151" s="274">
        <f>T141</f>
        <v>2500</v>
      </c>
      <c r="U151" s="263">
        <f t="shared" si="62"/>
        <v>40</v>
      </c>
    </row>
    <row r="152" spans="1:21" ht="15.75">
      <c r="A152" s="496" t="s">
        <v>54</v>
      </c>
      <c r="B152" s="225"/>
      <c r="C152" s="225"/>
      <c r="D152" s="404" t="s">
        <v>42</v>
      </c>
      <c r="E152" s="130">
        <v>0.5</v>
      </c>
      <c r="F152" s="135">
        <f>(SUM(G142:G151)+181)</f>
        <v>570.72</v>
      </c>
      <c r="G152" s="132"/>
      <c r="H152" s="136">
        <f>(SUM(I142:I151)+181)</f>
        <v>626.316</v>
      </c>
      <c r="I152" s="132"/>
      <c r="J152" s="41">
        <f>(SUM(K142:K151)+181)</f>
        <v>695.92</v>
      </c>
      <c r="K152" s="44"/>
      <c r="L152" s="381"/>
      <c r="M152" s="98">
        <v>0.5</v>
      </c>
      <c r="N152" s="101">
        <f>(SUM(O142:O151)+181)</f>
        <v>420.27</v>
      </c>
      <c r="O152" s="99"/>
      <c r="P152" s="102">
        <f>(SUM(Q142:Q151)+181)</f>
        <v>482.27</v>
      </c>
      <c r="Q152" s="99"/>
      <c r="R152" s="274">
        <f>(SUM(S142:S151)+181)</f>
        <v>462.27</v>
      </c>
      <c r="S152" s="273"/>
      <c r="T152" s="274">
        <f>(SUM(U142:U151)+181)</f>
        <v>446.77</v>
      </c>
      <c r="U152" s="263"/>
    </row>
    <row r="153" spans="1:21" ht="16.5" thickBot="1">
      <c r="A153" s="500" t="s">
        <v>56</v>
      </c>
      <c r="B153" s="225"/>
      <c r="C153" s="225"/>
      <c r="D153" s="400" t="s">
        <v>42</v>
      </c>
      <c r="E153" s="130">
        <v>0.05</v>
      </c>
      <c r="F153" s="135">
        <f>+E152*F152</f>
        <v>285.36</v>
      </c>
      <c r="G153" s="132">
        <f>E153*F153</f>
        <v>14.268</v>
      </c>
      <c r="H153" s="136">
        <f>+E152*H152</f>
        <v>313.158</v>
      </c>
      <c r="I153" s="132">
        <f>$E153*H153</f>
        <v>15.657900000000001</v>
      </c>
      <c r="J153" s="41">
        <f>+E152*J152</f>
        <v>347.96</v>
      </c>
      <c r="K153" s="44">
        <f>$E153*J153</f>
        <v>17.398</v>
      </c>
      <c r="L153" s="381"/>
      <c r="M153" s="98">
        <v>0.05</v>
      </c>
      <c r="N153" s="101">
        <f>+M152*N152</f>
        <v>210.135</v>
      </c>
      <c r="O153" s="99">
        <f>M153*N153</f>
        <v>10.50675</v>
      </c>
      <c r="P153" s="102">
        <f>+M152*P152</f>
        <v>241.135</v>
      </c>
      <c r="Q153" s="99">
        <f>$E153*P153</f>
        <v>12.056750000000001</v>
      </c>
      <c r="R153" s="274">
        <f>+M152*R152</f>
        <v>231.135</v>
      </c>
      <c r="S153" s="273">
        <f>$E153*R153</f>
        <v>11.556750000000001</v>
      </c>
      <c r="T153" s="266">
        <f>+M152*T152</f>
        <v>223.385</v>
      </c>
      <c r="U153" s="263">
        <f t="shared" si="62"/>
        <v>11.16925</v>
      </c>
    </row>
    <row r="154" spans="1:21" ht="18.75" thickBot="1">
      <c r="A154" s="168" t="s">
        <v>59</v>
      </c>
      <c r="B154" s="222"/>
      <c r="C154" s="222"/>
      <c r="D154" s="406"/>
      <c r="E154" s="226"/>
      <c r="F154" s="175"/>
      <c r="G154" s="153">
        <f>SUM(G142:G153)</f>
        <v>403.98799999999994</v>
      </c>
      <c r="H154" s="176"/>
      <c r="I154" s="153">
        <f>SUM(I142:I153)</f>
        <v>460.97389999999996</v>
      </c>
      <c r="J154" s="368"/>
      <c r="K154" s="368">
        <f>SUM(K142:K153)</f>
        <v>532.318</v>
      </c>
      <c r="L154" s="380"/>
      <c r="M154" s="227"/>
      <c r="N154" s="177"/>
      <c r="O154" s="157">
        <f>SUM(O142:O153)</f>
        <v>249.77675000000002</v>
      </c>
      <c r="P154" s="178"/>
      <c r="Q154" s="260">
        <f>SUM(Q142:Q153)</f>
        <v>313.32675</v>
      </c>
      <c r="R154" s="449"/>
      <c r="S154" s="262">
        <f>SUM(S142:S153)</f>
        <v>292.82675</v>
      </c>
      <c r="T154" s="449"/>
      <c r="U154" s="262">
        <f>SUM(U142:U153)</f>
        <v>276.93924999999996</v>
      </c>
    </row>
    <row r="155" spans="1:21" ht="15.75">
      <c r="A155" s="228"/>
      <c r="B155" s="225"/>
      <c r="C155" s="225"/>
      <c r="D155" s="408" t="s">
        <v>39</v>
      </c>
      <c r="E155" s="45" t="s">
        <v>40</v>
      </c>
      <c r="F155" s="62" t="s">
        <v>41</v>
      </c>
      <c r="G155" s="63" t="s">
        <v>42</v>
      </c>
      <c r="H155" s="64" t="s">
        <v>43</v>
      </c>
      <c r="I155" s="63" t="s">
        <v>42</v>
      </c>
      <c r="J155" s="65" t="s">
        <v>41</v>
      </c>
      <c r="K155" s="68" t="s">
        <v>42</v>
      </c>
      <c r="L155" s="386"/>
      <c r="M155" s="45" t="s">
        <v>40</v>
      </c>
      <c r="N155" s="62" t="s">
        <v>41</v>
      </c>
      <c r="O155" s="63" t="s">
        <v>42</v>
      </c>
      <c r="P155" s="64" t="s">
        <v>43</v>
      </c>
      <c r="Q155" s="63" t="s">
        <v>42</v>
      </c>
      <c r="R155" s="65" t="s">
        <v>41</v>
      </c>
      <c r="S155" s="66" t="s">
        <v>42</v>
      </c>
      <c r="T155" s="65" t="s">
        <v>41</v>
      </c>
      <c r="U155" s="66" t="s">
        <v>42</v>
      </c>
    </row>
    <row r="156" spans="1:21" ht="18.75">
      <c r="A156" s="501" t="s">
        <v>100</v>
      </c>
      <c r="B156" s="469"/>
      <c r="C156" s="469"/>
      <c r="D156" s="463" t="s">
        <v>44</v>
      </c>
      <c r="E156" s="472"/>
      <c r="F156" s="473">
        <v>50</v>
      </c>
      <c r="G156" s="473"/>
      <c r="H156" s="473">
        <v>150</v>
      </c>
      <c r="I156" s="473"/>
      <c r="J156" s="473">
        <v>250</v>
      </c>
      <c r="K156" s="473"/>
      <c r="L156" s="475"/>
      <c r="M156" s="472"/>
      <c r="N156" s="473">
        <v>50</v>
      </c>
      <c r="O156" s="473"/>
      <c r="P156" s="473">
        <v>150</v>
      </c>
      <c r="Q156" s="473"/>
      <c r="R156" s="473">
        <v>150</v>
      </c>
      <c r="S156" s="502"/>
      <c r="T156" s="473">
        <v>150</v>
      </c>
      <c r="U156" s="502"/>
    </row>
    <row r="157" spans="1:21" ht="18">
      <c r="A157" s="496" t="s">
        <v>33</v>
      </c>
      <c r="B157" s="225"/>
      <c r="C157" s="225"/>
      <c r="D157" s="403"/>
      <c r="E157" s="130"/>
      <c r="F157" s="131"/>
      <c r="G157" s="132"/>
      <c r="H157" s="133"/>
      <c r="I157" s="132"/>
      <c r="J157" s="40"/>
      <c r="K157" s="44"/>
      <c r="L157" s="381"/>
      <c r="M157" s="98"/>
      <c r="N157" s="90"/>
      <c r="O157" s="99"/>
      <c r="P157" s="100"/>
      <c r="Q157" s="99"/>
      <c r="R157" s="290"/>
      <c r="S157" s="268"/>
      <c r="T157" s="290"/>
      <c r="U157" s="268"/>
    </row>
    <row r="158" spans="1:21" ht="15.75">
      <c r="A158" s="496" t="s">
        <v>101</v>
      </c>
      <c r="B158" s="225"/>
      <c r="C158" s="225"/>
      <c r="D158" s="404" t="s">
        <v>44</v>
      </c>
      <c r="E158" s="206">
        <v>9.8</v>
      </c>
      <c r="F158" s="133">
        <v>7</v>
      </c>
      <c r="G158" s="132">
        <f>E158*F158</f>
        <v>68.60000000000001</v>
      </c>
      <c r="H158" s="237">
        <v>7</v>
      </c>
      <c r="I158" s="132">
        <f>E158*H158</f>
        <v>68.60000000000001</v>
      </c>
      <c r="J158" s="16">
        <v>7</v>
      </c>
      <c r="K158" s="44">
        <f>E158*J158</f>
        <v>68.60000000000001</v>
      </c>
      <c r="L158" s="388"/>
      <c r="M158" s="206">
        <v>9.38</v>
      </c>
      <c r="N158" s="100">
        <v>4</v>
      </c>
      <c r="O158" s="99">
        <f>M158*N158</f>
        <v>37.52</v>
      </c>
      <c r="P158" s="237">
        <v>4</v>
      </c>
      <c r="Q158" s="99">
        <f>M158*P158</f>
        <v>37.52</v>
      </c>
      <c r="R158" s="375">
        <v>4</v>
      </c>
      <c r="S158" s="273">
        <f>M158*R158</f>
        <v>37.52</v>
      </c>
      <c r="T158" s="375">
        <v>4</v>
      </c>
      <c r="U158" s="263">
        <f aca="true" t="shared" si="63" ref="U158:U167">M158*T158</f>
        <v>37.52</v>
      </c>
    </row>
    <row r="159" spans="1:21" ht="15.75">
      <c r="A159" s="496"/>
      <c r="B159" s="225"/>
      <c r="C159" s="225"/>
      <c r="D159" s="404" t="s">
        <v>44</v>
      </c>
      <c r="E159" s="209"/>
      <c r="F159" s="133">
        <v>260</v>
      </c>
      <c r="G159" s="132">
        <f>E159*F159</f>
        <v>0</v>
      </c>
      <c r="H159" s="237">
        <v>0</v>
      </c>
      <c r="I159" s="132">
        <f>E159*H159</f>
        <v>0</v>
      </c>
      <c r="J159" s="16">
        <v>260</v>
      </c>
      <c r="K159" s="44">
        <f>E159*J159</f>
        <v>0</v>
      </c>
      <c r="L159" s="388"/>
      <c r="M159" s="209" t="s">
        <v>105</v>
      </c>
      <c r="N159" s="100" t="s">
        <v>105</v>
      </c>
      <c r="O159" s="99" t="s">
        <v>105</v>
      </c>
      <c r="P159" s="237" t="s">
        <v>105</v>
      </c>
      <c r="Q159" s="99" t="s">
        <v>105</v>
      </c>
      <c r="R159" s="375" t="s">
        <v>105</v>
      </c>
      <c r="S159" s="273" t="s">
        <v>105</v>
      </c>
      <c r="T159" s="375" t="s">
        <v>105</v>
      </c>
      <c r="U159" s="263" t="e">
        <f t="shared" si="63"/>
        <v>#VALUE!</v>
      </c>
    </row>
    <row r="160" spans="1:21" ht="15.75">
      <c r="A160" s="500" t="s">
        <v>94</v>
      </c>
      <c r="B160" s="225"/>
      <c r="C160" s="225"/>
      <c r="D160" s="404" t="s">
        <v>97</v>
      </c>
      <c r="E160" s="207">
        <v>99</v>
      </c>
      <c r="F160" s="133">
        <v>1</v>
      </c>
      <c r="G160" s="132">
        <f>E160*F160</f>
        <v>99</v>
      </c>
      <c r="H160" s="237">
        <v>1</v>
      </c>
      <c r="I160" s="132">
        <f>E160*H160</f>
        <v>99</v>
      </c>
      <c r="J160" s="16">
        <v>1</v>
      </c>
      <c r="K160" s="44">
        <f>E160*J160</f>
        <v>99</v>
      </c>
      <c r="L160" s="388" t="s">
        <v>154</v>
      </c>
      <c r="M160" s="210">
        <v>1</v>
      </c>
      <c r="N160" s="100">
        <v>0</v>
      </c>
      <c r="O160" s="87">
        <f aca="true" t="shared" si="64" ref="O160:O165">M160*N160</f>
        <v>0</v>
      </c>
      <c r="P160" s="237">
        <v>0</v>
      </c>
      <c r="Q160" s="87">
        <f aca="true" t="shared" si="65" ref="Q160:Q165">M160*P160</f>
        <v>0</v>
      </c>
      <c r="R160" s="375">
        <v>0</v>
      </c>
      <c r="S160" s="263">
        <f aca="true" t="shared" si="66" ref="S160:S165">M160*R160</f>
        <v>0</v>
      </c>
      <c r="T160" s="375">
        <v>0</v>
      </c>
      <c r="U160" s="263">
        <f t="shared" si="63"/>
        <v>0</v>
      </c>
    </row>
    <row r="161" spans="1:21" ht="15.75">
      <c r="A161" s="496" t="s">
        <v>98</v>
      </c>
      <c r="B161" s="225"/>
      <c r="C161" s="225"/>
      <c r="D161" s="404" t="s">
        <v>97</v>
      </c>
      <c r="E161" s="207">
        <v>72</v>
      </c>
      <c r="F161" s="133">
        <v>1</v>
      </c>
      <c r="G161" s="132">
        <f>F161*E161</f>
        <v>72</v>
      </c>
      <c r="H161" s="237">
        <v>1</v>
      </c>
      <c r="I161" s="132">
        <f>H161*E161</f>
        <v>72</v>
      </c>
      <c r="J161" s="16">
        <v>1</v>
      </c>
      <c r="K161" s="44">
        <f>J161*E161</f>
        <v>72</v>
      </c>
      <c r="L161" s="388" t="s">
        <v>80</v>
      </c>
      <c r="M161" s="210">
        <v>7.5</v>
      </c>
      <c r="N161" s="100">
        <v>1</v>
      </c>
      <c r="O161" s="87">
        <f t="shared" si="64"/>
        <v>7.5</v>
      </c>
      <c r="P161" s="91">
        <v>1</v>
      </c>
      <c r="Q161" s="87">
        <f t="shared" si="65"/>
        <v>7.5</v>
      </c>
      <c r="R161" s="264">
        <v>1</v>
      </c>
      <c r="S161" s="263">
        <f t="shared" si="66"/>
        <v>7.5</v>
      </c>
      <c r="T161" s="264">
        <v>1</v>
      </c>
      <c r="U161" s="263">
        <f t="shared" si="63"/>
        <v>7.5</v>
      </c>
    </row>
    <row r="162" spans="1:33" s="35" customFormat="1" ht="18.75" customHeight="1">
      <c r="A162" s="496" t="s">
        <v>102</v>
      </c>
      <c r="B162" s="225"/>
      <c r="C162" s="225"/>
      <c r="D162" s="404" t="s">
        <v>50</v>
      </c>
      <c r="E162" s="232">
        <v>7.3</v>
      </c>
      <c r="F162" s="133">
        <v>9</v>
      </c>
      <c r="G162" s="132">
        <f>E162*F162</f>
        <v>65.7</v>
      </c>
      <c r="H162" s="134">
        <v>9</v>
      </c>
      <c r="I162" s="132">
        <f>E162*H162</f>
        <v>65.7</v>
      </c>
      <c r="J162" s="16">
        <v>9</v>
      </c>
      <c r="K162" s="44">
        <f>E162*J162</f>
        <v>65.7</v>
      </c>
      <c r="L162" s="388"/>
      <c r="M162" s="232">
        <v>7.3</v>
      </c>
      <c r="N162" s="100">
        <v>9</v>
      </c>
      <c r="O162" s="99">
        <f t="shared" si="64"/>
        <v>65.7</v>
      </c>
      <c r="P162" s="91">
        <v>9</v>
      </c>
      <c r="Q162" s="99">
        <f t="shared" si="65"/>
        <v>65.7</v>
      </c>
      <c r="R162" s="264">
        <v>9</v>
      </c>
      <c r="S162" s="273">
        <f t="shared" si="66"/>
        <v>65.7</v>
      </c>
      <c r="T162" s="264">
        <v>9</v>
      </c>
      <c r="U162" s="263">
        <f t="shared" si="63"/>
        <v>65.7</v>
      </c>
      <c r="V162"/>
      <c r="W162" s="7"/>
      <c r="X162" s="7"/>
      <c r="Y162" s="7"/>
      <c r="Z162" s="7"/>
      <c r="AA162" s="7"/>
      <c r="AB162" s="60"/>
      <c r="AC162" s="7"/>
      <c r="AD162" s="56"/>
      <c r="AE162" s="7"/>
      <c r="AF162" s="7"/>
      <c r="AG162" s="50"/>
    </row>
    <row r="163" spans="1:21" ht="15.75" customHeight="1">
      <c r="A163" s="496" t="s">
        <v>103</v>
      </c>
      <c r="B163" s="225"/>
      <c r="C163" s="225"/>
      <c r="D163" s="404" t="s">
        <v>50</v>
      </c>
      <c r="E163" s="232">
        <v>7.3</v>
      </c>
      <c r="F163" s="133">
        <v>3.5</v>
      </c>
      <c r="G163" s="132">
        <f>E163*F163</f>
        <v>25.55</v>
      </c>
      <c r="H163" s="134">
        <v>3.6</v>
      </c>
      <c r="I163" s="132">
        <f>E163*H163</f>
        <v>26.28</v>
      </c>
      <c r="J163" s="16">
        <v>3.7</v>
      </c>
      <c r="K163" s="44">
        <f>E163*J163</f>
        <v>27.01</v>
      </c>
      <c r="L163" s="388"/>
      <c r="M163" s="232">
        <v>7.3</v>
      </c>
      <c r="N163" s="100">
        <v>3.5</v>
      </c>
      <c r="O163" s="99">
        <f t="shared" si="64"/>
        <v>25.55</v>
      </c>
      <c r="P163" s="91">
        <v>3.6</v>
      </c>
      <c r="Q163" s="99">
        <f t="shared" si="65"/>
        <v>26.28</v>
      </c>
      <c r="R163" s="264">
        <v>3.7</v>
      </c>
      <c r="S163" s="273">
        <f t="shared" si="66"/>
        <v>27.01</v>
      </c>
      <c r="T163" s="264">
        <v>3.7</v>
      </c>
      <c r="U163" s="263">
        <f t="shared" si="63"/>
        <v>27.01</v>
      </c>
    </row>
    <row r="164" spans="1:21" ht="15.75">
      <c r="A164" s="496" t="s">
        <v>104</v>
      </c>
      <c r="B164" s="225"/>
      <c r="C164" s="225"/>
      <c r="D164" s="404" t="s">
        <v>11</v>
      </c>
      <c r="E164" s="207">
        <v>11</v>
      </c>
      <c r="F164" s="133">
        <v>1</v>
      </c>
      <c r="G164" s="132">
        <f>E164*F164</f>
        <v>11</v>
      </c>
      <c r="H164" s="134">
        <v>1</v>
      </c>
      <c r="I164" s="132">
        <f>E164*H164</f>
        <v>11</v>
      </c>
      <c r="J164" s="16">
        <v>1</v>
      </c>
      <c r="K164" s="44">
        <f>E164*J164</f>
        <v>11</v>
      </c>
      <c r="L164" s="388"/>
      <c r="M164" s="207">
        <v>11</v>
      </c>
      <c r="N164" s="100">
        <v>1</v>
      </c>
      <c r="O164" s="99">
        <f t="shared" si="64"/>
        <v>11</v>
      </c>
      <c r="P164" s="91">
        <v>1</v>
      </c>
      <c r="Q164" s="99">
        <f t="shared" si="65"/>
        <v>11</v>
      </c>
      <c r="R164" s="264">
        <v>1</v>
      </c>
      <c r="S164" s="273">
        <f t="shared" si="66"/>
        <v>11</v>
      </c>
      <c r="T164" s="264">
        <v>1</v>
      </c>
      <c r="U164" s="263">
        <f t="shared" si="63"/>
        <v>11</v>
      </c>
    </row>
    <row r="165" spans="1:21" ht="15.75">
      <c r="A165" s="496" t="s">
        <v>99</v>
      </c>
      <c r="B165" s="225"/>
      <c r="C165" s="225"/>
      <c r="D165" s="404" t="s">
        <v>44</v>
      </c>
      <c r="E165" s="206">
        <f>'[1]Hinnat'!$I$22</f>
        <v>0.27</v>
      </c>
      <c r="F165" s="133">
        <f>60</f>
        <v>60</v>
      </c>
      <c r="G165" s="132">
        <f>E165*F165</f>
        <v>16.200000000000003</v>
      </c>
      <c r="H165" s="134">
        <v>180</v>
      </c>
      <c r="I165" s="132">
        <f>E165*H165</f>
        <v>48.6</v>
      </c>
      <c r="J165" s="16">
        <v>300</v>
      </c>
      <c r="K165" s="44">
        <f>E165*J165</f>
        <v>81</v>
      </c>
      <c r="L165" s="388"/>
      <c r="M165" s="206">
        <f>'[1]Hinnat'!$I$22</f>
        <v>0.27</v>
      </c>
      <c r="N165" s="100">
        <f>60</f>
        <v>60</v>
      </c>
      <c r="O165" s="99">
        <f t="shared" si="64"/>
        <v>16.200000000000003</v>
      </c>
      <c r="P165" s="91">
        <v>180</v>
      </c>
      <c r="Q165" s="99">
        <f t="shared" si="65"/>
        <v>48.6</v>
      </c>
      <c r="R165" s="264">
        <v>300</v>
      </c>
      <c r="S165" s="273">
        <f t="shared" si="66"/>
        <v>81</v>
      </c>
      <c r="T165" s="264">
        <v>300</v>
      </c>
      <c r="U165" s="263">
        <f t="shared" si="63"/>
        <v>81</v>
      </c>
    </row>
    <row r="166" spans="1:21" ht="15.75">
      <c r="A166" s="496" t="s">
        <v>54</v>
      </c>
      <c r="B166" s="225"/>
      <c r="C166" s="225"/>
      <c r="D166" s="404" t="s">
        <v>42</v>
      </c>
      <c r="E166" s="146">
        <v>0.5</v>
      </c>
      <c r="F166" s="136">
        <f>(SUM(G158:G165)+236)</f>
        <v>594.05</v>
      </c>
      <c r="G166" s="132"/>
      <c r="H166" s="136">
        <f>(SUM(I158:I165)+250)</f>
        <v>641.1800000000001</v>
      </c>
      <c r="I166" s="132"/>
      <c r="J166" s="41">
        <f>(SUM(K158:K165)+264)</f>
        <v>688.31</v>
      </c>
      <c r="K166" s="44"/>
      <c r="L166" s="388"/>
      <c r="M166" s="98">
        <v>0.5</v>
      </c>
      <c r="N166" s="101">
        <f>(SUM(O158:O165)+236)</f>
        <v>399.47</v>
      </c>
      <c r="O166" s="99"/>
      <c r="P166" s="102">
        <f>(SUM(Q158:Q165)+250)</f>
        <v>446.6</v>
      </c>
      <c r="Q166" s="99"/>
      <c r="R166" s="274">
        <f>(SUM(S158:S165)+264)</f>
        <v>493.73</v>
      </c>
      <c r="S166" s="273"/>
      <c r="T166" s="274" t="e">
        <f>(SUM(U158:U165)+264)</f>
        <v>#VALUE!</v>
      </c>
      <c r="U166" s="263"/>
    </row>
    <row r="167" spans="1:21" ht="16.5" customHeight="1" thickBot="1">
      <c r="A167" s="496" t="s">
        <v>56</v>
      </c>
      <c r="B167" s="225"/>
      <c r="C167" s="225"/>
      <c r="D167" s="404" t="s">
        <v>42</v>
      </c>
      <c r="E167" s="146">
        <f>'[1]Hinnat'!$F$2</f>
        <v>0.05</v>
      </c>
      <c r="F167" s="136">
        <f>+E166*F166</f>
        <v>297.025</v>
      </c>
      <c r="G167" s="132">
        <f>E167*F167</f>
        <v>14.85125</v>
      </c>
      <c r="H167" s="136">
        <f>+E166*H166</f>
        <v>320.59000000000003</v>
      </c>
      <c r="I167" s="132">
        <f>E167*H167</f>
        <v>16.029500000000002</v>
      </c>
      <c r="J167" s="41">
        <f>+E166*J166</f>
        <v>344.155</v>
      </c>
      <c r="K167" s="44">
        <f>E167*J167</f>
        <v>17.20775</v>
      </c>
      <c r="L167" s="388"/>
      <c r="M167" s="98">
        <f>'[1]Hinnat'!$F$2</f>
        <v>0.05</v>
      </c>
      <c r="N167" s="101">
        <f>+M166*N166</f>
        <v>199.735</v>
      </c>
      <c r="O167" s="99">
        <f>M167*N167</f>
        <v>9.98675</v>
      </c>
      <c r="P167" s="102">
        <f>+M166*P166</f>
        <v>223.3</v>
      </c>
      <c r="Q167" s="99">
        <f>M167*P167</f>
        <v>11.165000000000001</v>
      </c>
      <c r="R167" s="274">
        <f>+M166*R166</f>
        <v>246.865</v>
      </c>
      <c r="S167" s="273">
        <f>M167*R167</f>
        <v>12.343250000000001</v>
      </c>
      <c r="T167" s="266" t="e">
        <f>+M166*T166</f>
        <v>#VALUE!</v>
      </c>
      <c r="U167" s="263" t="e">
        <f t="shared" si="63"/>
        <v>#VALUE!</v>
      </c>
    </row>
    <row r="168" spans="1:21" ht="18.75" thickBot="1">
      <c r="A168" s="179" t="s">
        <v>59</v>
      </c>
      <c r="B168" s="222"/>
      <c r="C168" s="222"/>
      <c r="D168" s="201"/>
      <c r="E168" s="181"/>
      <c r="F168" s="182"/>
      <c r="G168" s="183">
        <f>SUM(G155:G167)</f>
        <v>372.90125</v>
      </c>
      <c r="H168" s="180"/>
      <c r="I168" s="183">
        <f>SUM(I155:I167)</f>
        <v>407.20950000000005</v>
      </c>
      <c r="J168" s="184"/>
      <c r="K168" s="203">
        <f>SUM(K155:K167)</f>
        <v>441.51775</v>
      </c>
      <c r="L168" s="391"/>
      <c r="M168" s="185"/>
      <c r="N168" s="186"/>
      <c r="O168" s="187">
        <f>SUM(O155:O167)</f>
        <v>173.45675000000003</v>
      </c>
      <c r="P168" s="188"/>
      <c r="Q168" s="202">
        <f>SUM(Q155:Q167)</f>
        <v>207.765</v>
      </c>
      <c r="R168" s="447"/>
      <c r="S168" s="446">
        <f>SUM(S155:S167)</f>
        <v>242.07325</v>
      </c>
      <c r="T168" s="447"/>
      <c r="U168" s="446" t="e">
        <f>SUM(U155:U167)</f>
        <v>#VALUE!</v>
      </c>
    </row>
    <row r="169" spans="1:21" ht="18.75" customHeight="1">
      <c r="A169" s="228"/>
      <c r="B169" s="225"/>
      <c r="C169" s="225"/>
      <c r="D169" s="408" t="s">
        <v>39</v>
      </c>
      <c r="E169" s="45" t="s">
        <v>40</v>
      </c>
      <c r="F169" s="62" t="s">
        <v>41</v>
      </c>
      <c r="G169" s="63" t="s">
        <v>42</v>
      </c>
      <c r="H169" s="65" t="s">
        <v>43</v>
      </c>
      <c r="I169" s="63" t="s">
        <v>42</v>
      </c>
      <c r="J169" s="65" t="s">
        <v>41</v>
      </c>
      <c r="K169" s="68" t="s">
        <v>42</v>
      </c>
      <c r="L169" s="392"/>
      <c r="M169" s="45" t="s">
        <v>40</v>
      </c>
      <c r="N169" s="62" t="s">
        <v>41</v>
      </c>
      <c r="O169" s="63" t="s">
        <v>42</v>
      </c>
      <c r="P169" s="65" t="s">
        <v>43</v>
      </c>
      <c r="Q169" s="63" t="s">
        <v>42</v>
      </c>
      <c r="R169" s="65" t="s">
        <v>41</v>
      </c>
      <c r="S169" s="66" t="s">
        <v>42</v>
      </c>
      <c r="T169" s="65" t="s">
        <v>41</v>
      </c>
      <c r="U169" s="66" t="s">
        <v>42</v>
      </c>
    </row>
    <row r="170" spans="1:21" ht="15.75" customHeight="1">
      <c r="A170" s="501" t="s">
        <v>106</v>
      </c>
      <c r="B170" s="469"/>
      <c r="C170" s="469"/>
      <c r="D170" s="463" t="s">
        <v>44</v>
      </c>
      <c r="E170" s="472"/>
      <c r="F170" s="473">
        <v>50</v>
      </c>
      <c r="G170" s="473"/>
      <c r="H170" s="473">
        <v>150</v>
      </c>
      <c r="I170" s="473"/>
      <c r="J170" s="473">
        <v>250</v>
      </c>
      <c r="K170" s="473"/>
      <c r="L170" s="475"/>
      <c r="M170" s="472"/>
      <c r="N170" s="473">
        <v>50</v>
      </c>
      <c r="O170" s="473"/>
      <c r="P170" s="473">
        <v>150</v>
      </c>
      <c r="Q170" s="473"/>
      <c r="R170" s="473">
        <v>150</v>
      </c>
      <c r="S170" s="502"/>
      <c r="T170" s="473">
        <v>150</v>
      </c>
      <c r="U170" s="502"/>
    </row>
    <row r="171" spans="1:21" ht="18">
      <c r="A171" s="496" t="s">
        <v>33</v>
      </c>
      <c r="B171" s="225"/>
      <c r="C171" s="225"/>
      <c r="D171" s="403"/>
      <c r="E171" s="130"/>
      <c r="F171" s="131"/>
      <c r="G171" s="132"/>
      <c r="H171" s="133"/>
      <c r="I171" s="132"/>
      <c r="J171" s="40"/>
      <c r="K171" s="44"/>
      <c r="L171" s="381"/>
      <c r="M171" s="98"/>
      <c r="N171" s="90"/>
      <c r="O171" s="99"/>
      <c r="P171" s="100"/>
      <c r="Q171" s="99"/>
      <c r="R171" s="290"/>
      <c r="S171" s="268"/>
      <c r="T171" s="290"/>
      <c r="U171" s="268"/>
    </row>
    <row r="172" spans="1:21" ht="15.75">
      <c r="A172" s="496" t="s">
        <v>137</v>
      </c>
      <c r="B172" s="225"/>
      <c r="C172" s="225"/>
      <c r="D172" s="404" t="s">
        <v>44</v>
      </c>
      <c r="E172" s="206">
        <v>6.8</v>
      </c>
      <c r="F172" s="133">
        <v>3</v>
      </c>
      <c r="G172" s="132">
        <f aca="true" t="shared" si="67" ref="G172:G180">E172*F172</f>
        <v>20.4</v>
      </c>
      <c r="H172" s="237">
        <v>3</v>
      </c>
      <c r="I172" s="132">
        <f aca="true" t="shared" si="68" ref="I172:I180">E172*H172</f>
        <v>20.4</v>
      </c>
      <c r="J172" s="16">
        <v>3</v>
      </c>
      <c r="K172" s="44">
        <f aca="true" t="shared" si="69" ref="K172:K180">E172*J172</f>
        <v>20.4</v>
      </c>
      <c r="L172" s="388"/>
      <c r="M172" s="206">
        <v>6.8</v>
      </c>
      <c r="N172" s="100">
        <v>3</v>
      </c>
      <c r="O172" s="99">
        <f aca="true" t="shared" si="70" ref="O172:O180">M172*N172</f>
        <v>20.4</v>
      </c>
      <c r="P172" s="237">
        <v>3</v>
      </c>
      <c r="Q172" s="99">
        <f aca="true" t="shared" si="71" ref="Q172:Q180">M172*P172</f>
        <v>20.4</v>
      </c>
      <c r="R172" s="375">
        <v>3</v>
      </c>
      <c r="S172" s="273">
        <f aca="true" t="shared" si="72" ref="S172:S180">M172*R172</f>
        <v>20.4</v>
      </c>
      <c r="T172" s="375">
        <v>3</v>
      </c>
      <c r="U172" s="263">
        <f aca="true" t="shared" si="73" ref="U172:U182">M172*T172</f>
        <v>20.4</v>
      </c>
    </row>
    <row r="173" spans="1:21" ht="15.75" customHeight="1">
      <c r="A173" s="496" t="s">
        <v>138</v>
      </c>
      <c r="B173" s="225"/>
      <c r="C173" s="225"/>
      <c r="D173" s="404" t="s">
        <v>44</v>
      </c>
      <c r="E173" s="209">
        <f>E8</f>
        <v>0.205</v>
      </c>
      <c r="F173" s="133">
        <v>380</v>
      </c>
      <c r="G173" s="132">
        <f t="shared" si="67"/>
        <v>77.89999999999999</v>
      </c>
      <c r="H173" s="237">
        <v>380</v>
      </c>
      <c r="I173" s="132">
        <f t="shared" si="68"/>
        <v>77.89999999999999</v>
      </c>
      <c r="J173" s="16">
        <v>380</v>
      </c>
      <c r="K173" s="44">
        <f t="shared" si="69"/>
        <v>77.89999999999999</v>
      </c>
      <c r="L173" s="388"/>
      <c r="M173" s="210">
        <v>0</v>
      </c>
      <c r="N173" s="100">
        <v>1</v>
      </c>
      <c r="O173" s="87">
        <f>M173*N173</f>
        <v>0</v>
      </c>
      <c r="P173" s="237">
        <v>1</v>
      </c>
      <c r="Q173" s="87">
        <f>M173*P173</f>
        <v>0</v>
      </c>
      <c r="R173" s="375">
        <v>1</v>
      </c>
      <c r="S173" s="263">
        <f t="shared" si="72"/>
        <v>0</v>
      </c>
      <c r="T173" s="375">
        <v>1</v>
      </c>
      <c r="U173" s="263">
        <f t="shared" si="73"/>
        <v>0</v>
      </c>
    </row>
    <row r="174" spans="1:21" ht="20.25" customHeight="1">
      <c r="A174" s="500" t="s">
        <v>94</v>
      </c>
      <c r="B174" s="225"/>
      <c r="C174" s="225"/>
      <c r="D174" s="404" t="s">
        <v>97</v>
      </c>
      <c r="E174" s="207">
        <v>39</v>
      </c>
      <c r="F174" s="133">
        <v>1</v>
      </c>
      <c r="G174" s="132">
        <f t="shared" si="67"/>
        <v>39</v>
      </c>
      <c r="H174" s="237">
        <v>1</v>
      </c>
      <c r="I174" s="132">
        <f t="shared" si="68"/>
        <v>39</v>
      </c>
      <c r="J174" s="16">
        <v>1</v>
      </c>
      <c r="K174" s="44">
        <f t="shared" si="69"/>
        <v>39</v>
      </c>
      <c r="L174" s="388" t="s">
        <v>80</v>
      </c>
      <c r="M174" s="210">
        <v>7.5</v>
      </c>
      <c r="N174" s="100">
        <v>1</v>
      </c>
      <c r="O174" s="87">
        <f>M174*N174</f>
        <v>7.5</v>
      </c>
      <c r="P174" s="91">
        <v>1</v>
      </c>
      <c r="Q174" s="87">
        <f>M174*P174</f>
        <v>7.5</v>
      </c>
      <c r="R174" s="264">
        <v>1</v>
      </c>
      <c r="S174" s="263">
        <f t="shared" si="72"/>
        <v>7.5</v>
      </c>
      <c r="T174" s="264">
        <v>1</v>
      </c>
      <c r="U174" s="263">
        <f t="shared" si="73"/>
        <v>7.5</v>
      </c>
    </row>
    <row r="175" spans="1:33" ht="18.75">
      <c r="A175" s="500" t="s">
        <v>94</v>
      </c>
      <c r="B175" s="225"/>
      <c r="C175" s="225"/>
      <c r="D175" s="404" t="s">
        <v>97</v>
      </c>
      <c r="E175" s="207">
        <v>31</v>
      </c>
      <c r="F175" s="133">
        <v>1</v>
      </c>
      <c r="G175" s="132">
        <f t="shared" si="67"/>
        <v>31</v>
      </c>
      <c r="H175" s="237">
        <v>1</v>
      </c>
      <c r="I175" s="132">
        <f t="shared" si="68"/>
        <v>31</v>
      </c>
      <c r="J175" s="16">
        <v>1</v>
      </c>
      <c r="K175" s="44">
        <f t="shared" si="69"/>
        <v>31</v>
      </c>
      <c r="L175" s="381" t="s">
        <v>79</v>
      </c>
      <c r="M175" s="211">
        <f>E10</f>
        <v>0.265</v>
      </c>
      <c r="N175" s="86">
        <v>0</v>
      </c>
      <c r="O175" s="87">
        <f>M175*N175</f>
        <v>0</v>
      </c>
      <c r="P175" s="212">
        <v>500</v>
      </c>
      <c r="Q175" s="87">
        <f>M175*P175</f>
        <v>132.5</v>
      </c>
      <c r="R175" s="373">
        <v>1000</v>
      </c>
      <c r="S175" s="263">
        <f t="shared" si="72"/>
        <v>265</v>
      </c>
      <c r="T175" s="373">
        <v>1000</v>
      </c>
      <c r="U175" s="263">
        <f t="shared" si="73"/>
        <v>265</v>
      </c>
      <c r="AG175" s="50"/>
    </row>
    <row r="176" spans="1:21" ht="15.75" customHeight="1">
      <c r="A176" s="500" t="s">
        <v>94</v>
      </c>
      <c r="B176" s="225"/>
      <c r="C176" s="225"/>
      <c r="D176" s="404" t="s">
        <v>11</v>
      </c>
      <c r="E176" s="207">
        <v>40</v>
      </c>
      <c r="F176" s="133">
        <v>1</v>
      </c>
      <c r="G176" s="132">
        <f t="shared" si="67"/>
        <v>40</v>
      </c>
      <c r="H176" s="134">
        <v>1</v>
      </c>
      <c r="I176" s="132">
        <f t="shared" si="68"/>
        <v>40</v>
      </c>
      <c r="J176" s="16">
        <v>1</v>
      </c>
      <c r="K176" s="44">
        <f t="shared" si="69"/>
        <v>40</v>
      </c>
      <c r="L176" s="388"/>
      <c r="M176" s="207">
        <v>0</v>
      </c>
      <c r="N176" s="100">
        <v>1</v>
      </c>
      <c r="O176" s="99">
        <f t="shared" si="70"/>
        <v>0</v>
      </c>
      <c r="P176" s="91">
        <v>1</v>
      </c>
      <c r="Q176" s="99">
        <f t="shared" si="71"/>
        <v>0</v>
      </c>
      <c r="R176" s="264">
        <v>1</v>
      </c>
      <c r="S176" s="273">
        <f t="shared" si="72"/>
        <v>0</v>
      </c>
      <c r="T176" s="264">
        <v>1</v>
      </c>
      <c r="U176" s="263">
        <f t="shared" si="73"/>
        <v>0</v>
      </c>
    </row>
    <row r="177" spans="1:33" s="35" customFormat="1" ht="18.75" customHeight="1">
      <c r="A177" s="496" t="s">
        <v>102</v>
      </c>
      <c r="B177" s="225"/>
      <c r="C177" s="225"/>
      <c r="D177" s="404" t="s">
        <v>50</v>
      </c>
      <c r="E177" s="206">
        <v>7.3</v>
      </c>
      <c r="F177" s="133">
        <v>8</v>
      </c>
      <c r="G177" s="132">
        <f t="shared" si="67"/>
        <v>58.4</v>
      </c>
      <c r="H177" s="134">
        <v>8</v>
      </c>
      <c r="I177" s="132">
        <f t="shared" si="68"/>
        <v>58.4</v>
      </c>
      <c r="J177" s="16">
        <v>8</v>
      </c>
      <c r="K177" s="44">
        <f t="shared" si="69"/>
        <v>58.4</v>
      </c>
      <c r="L177" s="388"/>
      <c r="M177" s="206">
        <v>7.3</v>
      </c>
      <c r="N177" s="100">
        <v>8</v>
      </c>
      <c r="O177" s="99">
        <f t="shared" si="70"/>
        <v>58.4</v>
      </c>
      <c r="P177" s="91">
        <v>8</v>
      </c>
      <c r="Q177" s="99">
        <f t="shared" si="71"/>
        <v>58.4</v>
      </c>
      <c r="R177" s="264">
        <v>8</v>
      </c>
      <c r="S177" s="273">
        <f t="shared" si="72"/>
        <v>58.4</v>
      </c>
      <c r="T177" s="264">
        <v>8</v>
      </c>
      <c r="U177" s="263">
        <f t="shared" si="73"/>
        <v>58.4</v>
      </c>
      <c r="V177"/>
      <c r="W177" s="7"/>
      <c r="X177" s="7"/>
      <c r="Y177" s="7"/>
      <c r="Z177" s="7"/>
      <c r="AA177" s="7"/>
      <c r="AB177" s="60"/>
      <c r="AC177" s="7"/>
      <c r="AD177" s="56"/>
      <c r="AE177" s="7"/>
      <c r="AF177" s="7"/>
      <c r="AG177" s="7"/>
    </row>
    <row r="178" spans="1:21" ht="18.75" customHeight="1">
      <c r="A178" s="496" t="s">
        <v>103</v>
      </c>
      <c r="B178" s="225"/>
      <c r="C178" s="225"/>
      <c r="D178" s="404" t="s">
        <v>50</v>
      </c>
      <c r="E178" s="206">
        <v>7.3</v>
      </c>
      <c r="F178" s="133">
        <v>2.4</v>
      </c>
      <c r="G178" s="132">
        <f t="shared" si="67"/>
        <v>17.52</v>
      </c>
      <c r="H178" s="134">
        <v>2.5</v>
      </c>
      <c r="I178" s="132">
        <f t="shared" si="68"/>
        <v>18.25</v>
      </c>
      <c r="J178" s="16">
        <v>2.6</v>
      </c>
      <c r="K178" s="44">
        <f t="shared" si="69"/>
        <v>18.98</v>
      </c>
      <c r="L178" s="388"/>
      <c r="M178" s="206">
        <v>7.3</v>
      </c>
      <c r="N178" s="100">
        <v>2.4</v>
      </c>
      <c r="O178" s="99">
        <f t="shared" si="70"/>
        <v>17.52</v>
      </c>
      <c r="P178" s="91">
        <v>2.5</v>
      </c>
      <c r="Q178" s="99">
        <f t="shared" si="71"/>
        <v>18.25</v>
      </c>
      <c r="R178" s="264">
        <v>2.6</v>
      </c>
      <c r="S178" s="273">
        <f t="shared" si="72"/>
        <v>18.98</v>
      </c>
      <c r="T178" s="264">
        <v>2.6</v>
      </c>
      <c r="U178" s="263">
        <f t="shared" si="73"/>
        <v>18.98</v>
      </c>
    </row>
    <row r="179" spans="1:21" ht="18.75" customHeight="1">
      <c r="A179" s="496" t="s">
        <v>104</v>
      </c>
      <c r="B179" s="225"/>
      <c r="C179" s="225"/>
      <c r="D179" s="404" t="s">
        <v>11</v>
      </c>
      <c r="E179" s="207">
        <v>17</v>
      </c>
      <c r="F179" s="133">
        <v>1</v>
      </c>
      <c r="G179" s="132">
        <f t="shared" si="67"/>
        <v>17</v>
      </c>
      <c r="H179" s="134">
        <v>1</v>
      </c>
      <c r="I179" s="132">
        <f t="shared" si="68"/>
        <v>17</v>
      </c>
      <c r="J179" s="16">
        <v>1</v>
      </c>
      <c r="K179" s="44">
        <f t="shared" si="69"/>
        <v>17</v>
      </c>
      <c r="L179" s="388"/>
      <c r="M179" s="207">
        <v>17</v>
      </c>
      <c r="N179" s="100">
        <v>1</v>
      </c>
      <c r="O179" s="99">
        <f t="shared" si="70"/>
        <v>17</v>
      </c>
      <c r="P179" s="91">
        <v>1</v>
      </c>
      <c r="Q179" s="99">
        <f t="shared" si="71"/>
        <v>17</v>
      </c>
      <c r="R179" s="264">
        <v>1</v>
      </c>
      <c r="S179" s="273">
        <f t="shared" si="72"/>
        <v>17</v>
      </c>
      <c r="T179" s="264">
        <v>1</v>
      </c>
      <c r="U179" s="263">
        <f t="shared" si="73"/>
        <v>17</v>
      </c>
    </row>
    <row r="180" spans="1:21" ht="18.75" customHeight="1">
      <c r="A180" s="496" t="s">
        <v>99</v>
      </c>
      <c r="B180" s="225"/>
      <c r="C180" s="225"/>
      <c r="D180" s="404" t="s">
        <v>44</v>
      </c>
      <c r="E180" s="206">
        <f>'[1]Hinnat'!$I$23</f>
        <v>0.12</v>
      </c>
      <c r="F180" s="133">
        <v>330</v>
      </c>
      <c r="G180" s="132">
        <f t="shared" si="67"/>
        <v>39.6</v>
      </c>
      <c r="H180" s="134">
        <v>440</v>
      </c>
      <c r="I180" s="132">
        <f t="shared" si="68"/>
        <v>52.8</v>
      </c>
      <c r="J180" s="16">
        <v>550</v>
      </c>
      <c r="K180" s="44">
        <f t="shared" si="69"/>
        <v>66</v>
      </c>
      <c r="L180" s="388"/>
      <c r="M180" s="206">
        <f>'[1]Hinnat'!$I$23</f>
        <v>0.12</v>
      </c>
      <c r="N180" s="100">
        <v>330</v>
      </c>
      <c r="O180" s="99">
        <f t="shared" si="70"/>
        <v>39.6</v>
      </c>
      <c r="P180" s="91">
        <v>440</v>
      </c>
      <c r="Q180" s="99">
        <f t="shared" si="71"/>
        <v>52.8</v>
      </c>
      <c r="R180" s="264">
        <v>550</v>
      </c>
      <c r="S180" s="273">
        <f t="shared" si="72"/>
        <v>66</v>
      </c>
      <c r="T180" s="264">
        <v>550</v>
      </c>
      <c r="U180" s="263">
        <f t="shared" si="73"/>
        <v>66</v>
      </c>
    </row>
    <row r="181" spans="1:21" ht="18.75" customHeight="1">
      <c r="A181" s="496" t="s">
        <v>54</v>
      </c>
      <c r="B181" s="225"/>
      <c r="C181" s="225"/>
      <c r="D181" s="404" t="s">
        <v>42</v>
      </c>
      <c r="E181" s="146">
        <v>0.5</v>
      </c>
      <c r="F181" s="136">
        <f>(SUM(G172:G180)+181)</f>
        <v>521.8199999999999</v>
      </c>
      <c r="G181" s="132"/>
      <c r="H181" s="136">
        <f>(SUM(I172:I180)+195)</f>
        <v>549.75</v>
      </c>
      <c r="I181" s="132"/>
      <c r="J181" s="41">
        <f>(SUM(K172:K180)+209)</f>
        <v>577.6800000000001</v>
      </c>
      <c r="K181" s="44"/>
      <c r="L181" s="388"/>
      <c r="M181" s="98">
        <v>0.5</v>
      </c>
      <c r="N181" s="101">
        <f>(SUM(O172:O180)+181)</f>
        <v>341.41999999999996</v>
      </c>
      <c r="O181" s="99"/>
      <c r="P181" s="102">
        <f>(SUM(Q172:Q180)+181)</f>
        <v>487.85</v>
      </c>
      <c r="Q181" s="99"/>
      <c r="R181" s="274">
        <f>(SUM(S172:S180)+181)</f>
        <v>634.28</v>
      </c>
      <c r="S181" s="273"/>
      <c r="T181" s="274">
        <f>(SUM(U172:U180)+181)</f>
        <v>634.28</v>
      </c>
      <c r="U181" s="263"/>
    </row>
    <row r="182" spans="1:21" ht="18.75" customHeight="1" thickBot="1">
      <c r="A182" s="496" t="s">
        <v>56</v>
      </c>
      <c r="B182" s="225"/>
      <c r="C182" s="225"/>
      <c r="D182" s="404" t="s">
        <v>42</v>
      </c>
      <c r="E182" s="146">
        <f>'[1]Hinnat'!$F$2</f>
        <v>0.05</v>
      </c>
      <c r="F182" s="136">
        <f>+E181*F181</f>
        <v>260.90999999999997</v>
      </c>
      <c r="G182" s="132">
        <f>E182*F182</f>
        <v>13.045499999999999</v>
      </c>
      <c r="H182" s="136">
        <f>+E181*H181</f>
        <v>274.875</v>
      </c>
      <c r="I182" s="132">
        <f>E182*H182</f>
        <v>13.74375</v>
      </c>
      <c r="J182" s="41">
        <f>+E181*J181</f>
        <v>288.84000000000003</v>
      </c>
      <c r="K182" s="44">
        <f>E182*J182</f>
        <v>14.442000000000002</v>
      </c>
      <c r="L182" s="388"/>
      <c r="M182" s="98">
        <f>'[1]Hinnat'!$F$2</f>
        <v>0.05</v>
      </c>
      <c r="N182" s="101">
        <f>+M181*N181</f>
        <v>170.70999999999998</v>
      </c>
      <c r="O182" s="99">
        <f>M182*N182</f>
        <v>8.535499999999999</v>
      </c>
      <c r="P182" s="102">
        <f>+M181*P181</f>
        <v>243.925</v>
      </c>
      <c r="Q182" s="99">
        <f>M182*P182</f>
        <v>12.196250000000001</v>
      </c>
      <c r="R182" s="274">
        <f>+M181*R181</f>
        <v>317.14</v>
      </c>
      <c r="S182" s="273">
        <f>M182*R182</f>
        <v>15.857</v>
      </c>
      <c r="T182" s="266">
        <f>+M181*T181</f>
        <v>317.14</v>
      </c>
      <c r="U182" s="263">
        <f t="shared" si="73"/>
        <v>15.857</v>
      </c>
    </row>
    <row r="183" spans="1:21" ht="18.75" customHeight="1" thickBot="1">
      <c r="A183" s="169" t="s">
        <v>59</v>
      </c>
      <c r="B183" s="229"/>
      <c r="C183" s="229"/>
      <c r="D183" s="197"/>
      <c r="E183" s="189"/>
      <c r="F183" s="190"/>
      <c r="G183" s="191">
        <f>SUM(G170:G182)</f>
        <v>353.8655</v>
      </c>
      <c r="H183" s="149"/>
      <c r="I183" s="191">
        <f>SUM(I170:I182)</f>
        <v>368.49375</v>
      </c>
      <c r="J183" s="192"/>
      <c r="K183" s="370">
        <f>SUM(K170:K182)</f>
        <v>383.122</v>
      </c>
      <c r="L183" s="393"/>
      <c r="M183" s="193"/>
      <c r="N183" s="194"/>
      <c r="O183" s="195">
        <f>SUM(O170:O182)</f>
        <v>168.95549999999997</v>
      </c>
      <c r="P183" s="196"/>
      <c r="Q183" s="448">
        <f>SUM(Q170:Q182)</f>
        <v>319.04625000000004</v>
      </c>
      <c r="R183" s="447"/>
      <c r="S183" s="446">
        <f>SUM(S170:S182)</f>
        <v>469.13699999999994</v>
      </c>
      <c r="T183" s="447"/>
      <c r="U183" s="446">
        <f>SUM(U170:U182)</f>
        <v>469.13699999999994</v>
      </c>
    </row>
    <row r="184" spans="1:21" ht="18.75" customHeight="1">
      <c r="A184" s="228"/>
      <c r="B184" s="225"/>
      <c r="C184" s="225"/>
      <c r="D184" s="408" t="s">
        <v>39</v>
      </c>
      <c r="E184" s="45" t="s">
        <v>40</v>
      </c>
      <c r="F184" s="62" t="s">
        <v>41</v>
      </c>
      <c r="G184" s="63" t="s">
        <v>42</v>
      </c>
      <c r="H184" s="64" t="s">
        <v>43</v>
      </c>
      <c r="I184" s="63" t="s">
        <v>42</v>
      </c>
      <c r="J184" s="65" t="s">
        <v>41</v>
      </c>
      <c r="K184" s="68" t="s">
        <v>42</v>
      </c>
      <c r="L184" s="386"/>
      <c r="M184" s="45" t="s">
        <v>40</v>
      </c>
      <c r="N184" s="62" t="s">
        <v>41</v>
      </c>
      <c r="O184" s="63" t="s">
        <v>42</v>
      </c>
      <c r="P184" s="64" t="s">
        <v>43</v>
      </c>
      <c r="Q184" s="63" t="s">
        <v>42</v>
      </c>
      <c r="R184" s="65" t="s">
        <v>41</v>
      </c>
      <c r="S184" s="66" t="s">
        <v>42</v>
      </c>
      <c r="T184" s="65" t="s">
        <v>41</v>
      </c>
      <c r="U184" s="66" t="s">
        <v>42</v>
      </c>
    </row>
    <row r="185" spans="1:21" ht="18.75" customHeight="1">
      <c r="A185" s="498" t="s">
        <v>71</v>
      </c>
      <c r="B185" s="455"/>
      <c r="C185" s="455"/>
      <c r="D185" s="476" t="s">
        <v>44</v>
      </c>
      <c r="E185" s="477"/>
      <c r="F185" s="478">
        <v>14000</v>
      </c>
      <c r="G185" s="479"/>
      <c r="H185" s="476">
        <f>'C1-alue'!D16</f>
        <v>17900</v>
      </c>
      <c r="I185" s="479"/>
      <c r="J185" s="476">
        <v>21800</v>
      </c>
      <c r="K185" s="479"/>
      <c r="L185" s="480"/>
      <c r="M185" s="477"/>
      <c r="N185" s="478">
        <v>14000</v>
      </c>
      <c r="O185" s="479"/>
      <c r="P185" s="476">
        <f>'C1-alue'!D70</f>
        <v>14000</v>
      </c>
      <c r="Q185" s="479"/>
      <c r="R185" s="476">
        <f>'C1-alue'!D32</f>
        <v>12000</v>
      </c>
      <c r="S185" s="499"/>
      <c r="T185" s="476">
        <f>'C1-alue'!D49</f>
        <v>12000</v>
      </c>
      <c r="U185" s="499"/>
    </row>
    <row r="186" spans="1:21" ht="18.75" customHeight="1">
      <c r="A186" s="496" t="s">
        <v>33</v>
      </c>
      <c r="B186" s="225"/>
      <c r="C186" s="225"/>
      <c r="D186" s="403"/>
      <c r="E186" s="130"/>
      <c r="F186" s="131"/>
      <c r="G186" s="132"/>
      <c r="H186" s="133"/>
      <c r="I186" s="132"/>
      <c r="J186" s="40"/>
      <c r="K186" s="44"/>
      <c r="L186" s="381"/>
      <c r="M186" s="98"/>
      <c r="N186" s="90"/>
      <c r="O186" s="99"/>
      <c r="P186" s="100"/>
      <c r="Q186" s="99"/>
      <c r="R186" s="272"/>
      <c r="S186" s="273"/>
      <c r="T186" s="272"/>
      <c r="U186" s="273"/>
    </row>
    <row r="187" spans="1:33" ht="18.75" customHeight="1">
      <c r="A187" s="496" t="s">
        <v>72</v>
      </c>
      <c r="B187" s="225"/>
      <c r="C187" s="225"/>
      <c r="D187" s="404" t="s">
        <v>44</v>
      </c>
      <c r="E187" s="206">
        <v>3.5</v>
      </c>
      <c r="F187" s="133">
        <v>9</v>
      </c>
      <c r="G187" s="142">
        <f>E187*F187</f>
        <v>31.5</v>
      </c>
      <c r="H187" s="237">
        <v>9</v>
      </c>
      <c r="I187" s="132">
        <f>E187*H187</f>
        <v>31.5</v>
      </c>
      <c r="J187" s="16">
        <v>9</v>
      </c>
      <c r="K187" s="44">
        <f>E187*J187</f>
        <v>31.5</v>
      </c>
      <c r="L187" s="394" t="s">
        <v>155</v>
      </c>
      <c r="M187" s="206">
        <v>6.1</v>
      </c>
      <c r="N187" s="100">
        <v>7</v>
      </c>
      <c r="O187" s="89">
        <f aca="true" t="shared" si="74" ref="O187:O194">M187*N187</f>
        <v>42.699999999999996</v>
      </c>
      <c r="P187" s="237">
        <v>7</v>
      </c>
      <c r="Q187" s="87">
        <f aca="true" t="shared" si="75" ref="Q187:Q194">M187*P187</f>
        <v>42.699999999999996</v>
      </c>
      <c r="R187" s="375">
        <v>7</v>
      </c>
      <c r="S187" s="263">
        <f aca="true" t="shared" si="76" ref="S187:S194">M187*R187</f>
        <v>42.699999999999996</v>
      </c>
      <c r="T187" s="375">
        <v>7</v>
      </c>
      <c r="U187" s="263">
        <f aca="true" t="shared" si="77" ref="U187:U196">M187*T187</f>
        <v>42.699999999999996</v>
      </c>
      <c r="AG187" s="50"/>
    </row>
    <row r="188" spans="1:21" ht="18.75" customHeight="1">
      <c r="A188" s="496" t="s">
        <v>73</v>
      </c>
      <c r="B188" s="225"/>
      <c r="C188" s="225"/>
      <c r="D188" s="404" t="s">
        <v>44</v>
      </c>
      <c r="E188" s="209">
        <f>E9</f>
        <v>0.44</v>
      </c>
      <c r="F188" s="133">
        <v>420</v>
      </c>
      <c r="G188" s="142">
        <f>E188*F188</f>
        <v>184.8</v>
      </c>
      <c r="H188" s="237">
        <v>450</v>
      </c>
      <c r="I188" s="132">
        <f>E188*H188</f>
        <v>198</v>
      </c>
      <c r="J188" s="67">
        <v>500</v>
      </c>
      <c r="K188" s="44">
        <f>E188*J188</f>
        <v>220</v>
      </c>
      <c r="L188" s="381"/>
      <c r="M188" s="210"/>
      <c r="N188" s="100">
        <v>0</v>
      </c>
      <c r="O188" s="106">
        <f t="shared" si="74"/>
        <v>0</v>
      </c>
      <c r="P188" s="236">
        <v>0</v>
      </c>
      <c r="Q188" s="87">
        <f t="shared" si="75"/>
        <v>0</v>
      </c>
      <c r="R188" s="374">
        <v>0</v>
      </c>
      <c r="S188" s="263">
        <f t="shared" si="76"/>
        <v>0</v>
      </c>
      <c r="T188" s="374">
        <v>0</v>
      </c>
      <c r="U188" s="263">
        <f t="shared" si="77"/>
        <v>0</v>
      </c>
    </row>
    <row r="189" spans="1:21" ht="18.75" customHeight="1">
      <c r="A189" s="496" t="s">
        <v>63</v>
      </c>
      <c r="B189" s="225"/>
      <c r="C189" s="225"/>
      <c r="D189" s="404" t="s">
        <v>44</v>
      </c>
      <c r="E189" s="209">
        <f>E5</f>
        <v>0.315</v>
      </c>
      <c r="F189" s="133">
        <v>310</v>
      </c>
      <c r="G189" s="142">
        <f>E189*F189</f>
        <v>97.65</v>
      </c>
      <c r="H189" s="237">
        <v>330</v>
      </c>
      <c r="I189" s="132">
        <f>E189*H189</f>
        <v>103.95</v>
      </c>
      <c r="J189" s="67">
        <v>330</v>
      </c>
      <c r="K189" s="44">
        <f>E189*J189</f>
        <v>103.95</v>
      </c>
      <c r="L189" s="381" t="s">
        <v>80</v>
      </c>
      <c r="M189" s="210">
        <v>7.5</v>
      </c>
      <c r="N189" s="100">
        <v>1</v>
      </c>
      <c r="O189" s="87">
        <f t="shared" si="74"/>
        <v>7.5</v>
      </c>
      <c r="P189" s="91">
        <v>1</v>
      </c>
      <c r="Q189" s="87">
        <f t="shared" si="75"/>
        <v>7.5</v>
      </c>
      <c r="R189" s="264">
        <v>1</v>
      </c>
      <c r="S189" s="263">
        <f t="shared" si="76"/>
        <v>7.5</v>
      </c>
      <c r="T189" s="264">
        <v>1</v>
      </c>
      <c r="U189" s="263">
        <f t="shared" si="77"/>
        <v>7.5</v>
      </c>
    </row>
    <row r="190" spans="1:21" ht="18.75" customHeight="1">
      <c r="A190" s="496" t="s">
        <v>74</v>
      </c>
      <c r="B190" s="225"/>
      <c r="C190" s="225"/>
      <c r="D190" s="404"/>
      <c r="E190" s="209"/>
      <c r="F190" s="133"/>
      <c r="G190" s="132"/>
      <c r="H190" s="134"/>
      <c r="I190" s="132"/>
      <c r="J190" s="67"/>
      <c r="K190" s="44"/>
      <c r="L190" s="395" t="s">
        <v>74</v>
      </c>
      <c r="M190" s="209"/>
      <c r="N190" s="230"/>
      <c r="O190" s="87">
        <f t="shared" si="74"/>
        <v>0</v>
      </c>
      <c r="P190" s="231"/>
      <c r="Q190" s="87">
        <f t="shared" si="75"/>
        <v>0</v>
      </c>
      <c r="R190" s="282"/>
      <c r="S190" s="263">
        <f t="shared" si="76"/>
        <v>0</v>
      </c>
      <c r="T190" s="282"/>
      <c r="U190" s="263">
        <f t="shared" si="77"/>
        <v>0</v>
      </c>
    </row>
    <row r="191" spans="1:21" ht="18.75" customHeight="1">
      <c r="A191" s="500" t="s">
        <v>94</v>
      </c>
      <c r="B191" s="225"/>
      <c r="C191" s="225"/>
      <c r="D191" s="404" t="s">
        <v>11</v>
      </c>
      <c r="E191" s="207">
        <v>11</v>
      </c>
      <c r="F191" s="133">
        <v>1</v>
      </c>
      <c r="G191" s="132">
        <f>E191*F191</f>
        <v>11</v>
      </c>
      <c r="H191" s="134">
        <v>1</v>
      </c>
      <c r="I191" s="132">
        <f>E191*H191</f>
        <v>11</v>
      </c>
      <c r="J191" s="16">
        <v>1</v>
      </c>
      <c r="K191" s="44">
        <f>E191*J191</f>
        <v>11</v>
      </c>
      <c r="L191" s="381"/>
      <c r="M191" s="207">
        <v>0</v>
      </c>
      <c r="N191" s="100">
        <v>0</v>
      </c>
      <c r="O191" s="87">
        <f t="shared" si="74"/>
        <v>0</v>
      </c>
      <c r="P191" s="91">
        <v>0</v>
      </c>
      <c r="Q191" s="87">
        <f t="shared" si="75"/>
        <v>0</v>
      </c>
      <c r="R191" s="264">
        <v>0</v>
      </c>
      <c r="S191" s="263">
        <f t="shared" si="76"/>
        <v>0</v>
      </c>
      <c r="T191" s="264">
        <v>0</v>
      </c>
      <c r="U191" s="263">
        <f t="shared" si="77"/>
        <v>0</v>
      </c>
    </row>
    <row r="192" spans="1:33" s="35" customFormat="1" ht="18.75" customHeight="1">
      <c r="A192" s="496" t="s">
        <v>75</v>
      </c>
      <c r="B192" s="225"/>
      <c r="C192" s="225"/>
      <c r="D192" s="404" t="s">
        <v>76</v>
      </c>
      <c r="E192" s="206">
        <v>1.21</v>
      </c>
      <c r="F192" s="136">
        <f>(F185*5)/1000</f>
        <v>70</v>
      </c>
      <c r="G192" s="132">
        <f>F192*E192</f>
        <v>84.7</v>
      </c>
      <c r="H192" s="136">
        <f>(H185*5)/1000</f>
        <v>89.5</v>
      </c>
      <c r="I192" s="132">
        <f>H192*E192</f>
        <v>108.295</v>
      </c>
      <c r="J192" s="41">
        <f>(J185*5)/1000</f>
        <v>109</v>
      </c>
      <c r="K192" s="44">
        <f>J192*E192</f>
        <v>131.89</v>
      </c>
      <c r="L192" s="381"/>
      <c r="M192" s="206">
        <v>1.21</v>
      </c>
      <c r="N192" s="102">
        <f>(N185*5)/1000</f>
        <v>70</v>
      </c>
      <c r="O192" s="87">
        <f t="shared" si="74"/>
        <v>84.7</v>
      </c>
      <c r="P192" s="102">
        <f>(P185*5)/1000</f>
        <v>70</v>
      </c>
      <c r="Q192" s="87">
        <f t="shared" si="75"/>
        <v>84.7</v>
      </c>
      <c r="R192" s="274">
        <f>(R185*5)/1000</f>
        <v>60</v>
      </c>
      <c r="S192" s="263">
        <f t="shared" si="76"/>
        <v>72.6</v>
      </c>
      <c r="T192" s="274">
        <f>(T185*5)/1000</f>
        <v>60</v>
      </c>
      <c r="U192" s="263">
        <f t="shared" si="77"/>
        <v>72.6</v>
      </c>
      <c r="V192"/>
      <c r="W192" s="7"/>
      <c r="X192" s="7"/>
      <c r="Y192" s="7"/>
      <c r="Z192" s="7"/>
      <c r="AA192" s="7"/>
      <c r="AB192" s="60"/>
      <c r="AC192" s="7"/>
      <c r="AD192" s="56"/>
      <c r="AE192" s="7"/>
      <c r="AF192" s="7"/>
      <c r="AG192" s="7"/>
    </row>
    <row r="193" spans="1:21" ht="18.75" customHeight="1">
      <c r="A193" s="496" t="s">
        <v>77</v>
      </c>
      <c r="B193" s="225"/>
      <c r="C193" s="225"/>
      <c r="D193" s="404" t="s">
        <v>44</v>
      </c>
      <c r="E193" s="206">
        <v>2.49</v>
      </c>
      <c r="F193" s="147">
        <f>(F185*0.3)/1000</f>
        <v>4.2</v>
      </c>
      <c r="G193" s="132">
        <f>F193*E193</f>
        <v>10.458000000000002</v>
      </c>
      <c r="H193" s="147">
        <f>(H185*0.3)/1000</f>
        <v>5.37</v>
      </c>
      <c r="I193" s="132">
        <f>H193*E193</f>
        <v>13.371300000000002</v>
      </c>
      <c r="J193" s="42">
        <f>(J185*0.3)/1000</f>
        <v>6.54</v>
      </c>
      <c r="K193" s="44">
        <f>J193*E193</f>
        <v>16.2846</v>
      </c>
      <c r="L193" s="381"/>
      <c r="M193" s="206">
        <v>2.49</v>
      </c>
      <c r="N193" s="110">
        <f>(N185*0.3)/1000</f>
        <v>4.2</v>
      </c>
      <c r="O193" s="87">
        <f t="shared" si="74"/>
        <v>10.458000000000002</v>
      </c>
      <c r="P193" s="110">
        <f>(P185*0.3)/1000</f>
        <v>4.2</v>
      </c>
      <c r="Q193" s="87">
        <f t="shared" si="75"/>
        <v>10.458000000000002</v>
      </c>
      <c r="R193" s="283">
        <f>(R185*0.3)/1000</f>
        <v>3.6</v>
      </c>
      <c r="S193" s="263">
        <f t="shared" si="76"/>
        <v>8.964</v>
      </c>
      <c r="T193" s="283">
        <f>(T185*0.3)/1000</f>
        <v>3.6</v>
      </c>
      <c r="U193" s="263">
        <f t="shared" si="77"/>
        <v>8.964</v>
      </c>
    </row>
    <row r="194" spans="1:21" ht="18.75" customHeight="1">
      <c r="A194" s="496" t="s">
        <v>49</v>
      </c>
      <c r="B194" s="225"/>
      <c r="C194" s="225"/>
      <c r="D194" s="404" t="s">
        <v>50</v>
      </c>
      <c r="E194" s="206">
        <v>7.3</v>
      </c>
      <c r="F194" s="133">
        <v>8</v>
      </c>
      <c r="G194" s="132">
        <f>E194*F194</f>
        <v>58.4</v>
      </c>
      <c r="H194" s="134">
        <v>10</v>
      </c>
      <c r="I194" s="132">
        <f>E194*H194</f>
        <v>73</v>
      </c>
      <c r="J194" s="16">
        <v>12</v>
      </c>
      <c r="K194" s="44">
        <f>E194*J194</f>
        <v>87.6</v>
      </c>
      <c r="L194" s="381"/>
      <c r="M194" s="206">
        <v>7.3</v>
      </c>
      <c r="N194" s="100">
        <v>8</v>
      </c>
      <c r="O194" s="87">
        <f t="shared" si="74"/>
        <v>58.4</v>
      </c>
      <c r="P194" s="91">
        <v>10</v>
      </c>
      <c r="Q194" s="87">
        <f t="shared" si="75"/>
        <v>73</v>
      </c>
      <c r="R194" s="264">
        <v>12</v>
      </c>
      <c r="S194" s="263">
        <f t="shared" si="76"/>
        <v>87.6</v>
      </c>
      <c r="T194" s="264">
        <v>12</v>
      </c>
      <c r="U194" s="263">
        <f t="shared" si="77"/>
        <v>87.6</v>
      </c>
    </row>
    <row r="195" spans="1:21" ht="18.75" customHeight="1">
      <c r="A195" s="496" t="s">
        <v>54</v>
      </c>
      <c r="B195" s="225"/>
      <c r="C195" s="225"/>
      <c r="D195" s="404" t="s">
        <v>42</v>
      </c>
      <c r="E195" s="130">
        <v>0.5</v>
      </c>
      <c r="F195" s="135">
        <f>(SUM(G186:G194)+139)</f>
        <v>617.508</v>
      </c>
      <c r="G195" s="132"/>
      <c r="H195" s="136">
        <f>(SUM(I186:I194)+167)</f>
        <v>706.1163</v>
      </c>
      <c r="I195" s="132"/>
      <c r="J195" s="41">
        <f>(SUM(K186:K194)+195)</f>
        <v>797.2246</v>
      </c>
      <c r="K195" s="44"/>
      <c r="L195" s="381"/>
      <c r="M195" s="98">
        <v>0.5</v>
      </c>
      <c r="N195" s="101">
        <f>(SUM(O186:O194)+139)</f>
        <v>342.75800000000004</v>
      </c>
      <c r="O195" s="99"/>
      <c r="P195" s="102">
        <f>(SUM(Q186:Q194)+167)</f>
        <v>385.358</v>
      </c>
      <c r="Q195" s="99"/>
      <c r="R195" s="274">
        <f>(SUM(S186:S194)+195)</f>
        <v>414.364</v>
      </c>
      <c r="S195" s="273"/>
      <c r="T195" s="274">
        <f>(SUM(U186:U194)+195)</f>
        <v>414.364</v>
      </c>
      <c r="U195" s="263"/>
    </row>
    <row r="196" spans="1:21" ht="18.75" customHeight="1" thickBot="1">
      <c r="A196" s="496" t="s">
        <v>56</v>
      </c>
      <c r="B196" s="225"/>
      <c r="C196" s="225"/>
      <c r="D196" s="404" t="s">
        <v>42</v>
      </c>
      <c r="E196" s="130">
        <v>0.05</v>
      </c>
      <c r="F196" s="135">
        <f>+E195*F195</f>
        <v>308.754</v>
      </c>
      <c r="G196" s="132">
        <f>E196*F196</f>
        <v>15.437700000000001</v>
      </c>
      <c r="H196" s="136">
        <f>+E195*H195</f>
        <v>353.05815</v>
      </c>
      <c r="I196" s="132">
        <f>E196*H196</f>
        <v>17.6529075</v>
      </c>
      <c r="J196" s="41">
        <f>+E195*J195</f>
        <v>398.6123</v>
      </c>
      <c r="K196" s="44">
        <f>E196*J196</f>
        <v>19.930615000000003</v>
      </c>
      <c r="L196" s="381"/>
      <c r="M196" s="98">
        <v>0.05</v>
      </c>
      <c r="N196" s="101">
        <f>+M195*N195</f>
        <v>171.37900000000002</v>
      </c>
      <c r="O196" s="99">
        <f>M196*N196</f>
        <v>8.568950000000001</v>
      </c>
      <c r="P196" s="102">
        <f>+M195*P195</f>
        <v>192.679</v>
      </c>
      <c r="Q196" s="99">
        <f>M196*P196</f>
        <v>9.63395</v>
      </c>
      <c r="R196" s="274">
        <f>+M195*R195</f>
        <v>207.182</v>
      </c>
      <c r="S196" s="273">
        <f>M196*R196</f>
        <v>10.3591</v>
      </c>
      <c r="T196" s="266">
        <f>+M195*T195</f>
        <v>207.182</v>
      </c>
      <c r="U196" s="263">
        <f t="shared" si="77"/>
        <v>10.3591</v>
      </c>
    </row>
    <row r="197" spans="1:21" ht="18.75" customHeight="1" thickBot="1">
      <c r="A197" s="179" t="s">
        <v>59</v>
      </c>
      <c r="B197" s="222"/>
      <c r="C197" s="222"/>
      <c r="D197" s="201"/>
      <c r="E197" s="198"/>
      <c r="F197" s="182"/>
      <c r="G197" s="200">
        <f>SUM(G186:G196)</f>
        <v>493.94570000000004</v>
      </c>
      <c r="H197" s="180"/>
      <c r="I197" s="183">
        <f>SUM(I186:I196)</f>
        <v>556.7692075</v>
      </c>
      <c r="J197" s="184"/>
      <c r="K197" s="203">
        <f>SUM(K186:K196)</f>
        <v>622.155215</v>
      </c>
      <c r="L197" s="396"/>
      <c r="M197" s="185"/>
      <c r="N197" s="204"/>
      <c r="O197" s="202">
        <f>SUM(O186:O196)</f>
        <v>212.32695</v>
      </c>
      <c r="P197" s="188"/>
      <c r="Q197" s="187">
        <f>SUM(Q186:Q196)</f>
        <v>227.99195</v>
      </c>
      <c r="R197" s="445"/>
      <c r="S197" s="446">
        <f>SUM(S186:S196)</f>
        <v>229.7231</v>
      </c>
      <c r="T197" s="445"/>
      <c r="U197" s="446">
        <f>SUM(U186:U196)</f>
        <v>229.7231</v>
      </c>
    </row>
    <row r="198" spans="1:21" ht="18.75" customHeight="1">
      <c r="A198" s="228"/>
      <c r="B198" s="225"/>
      <c r="C198" s="225"/>
      <c r="D198" s="408" t="s">
        <v>39</v>
      </c>
      <c r="E198" s="45" t="s">
        <v>40</v>
      </c>
      <c r="F198" s="65" t="s">
        <v>41</v>
      </c>
      <c r="G198" s="68" t="s">
        <v>42</v>
      </c>
      <c r="H198" s="64" t="s">
        <v>43</v>
      </c>
      <c r="I198" s="63" t="s">
        <v>42</v>
      </c>
      <c r="J198" s="65" t="s">
        <v>41</v>
      </c>
      <c r="K198" s="68" t="s">
        <v>42</v>
      </c>
      <c r="L198" s="386"/>
      <c r="M198" s="45" t="s">
        <v>40</v>
      </c>
      <c r="N198" s="65" t="s">
        <v>41</v>
      </c>
      <c r="O198" s="68" t="s">
        <v>42</v>
      </c>
      <c r="P198" s="64" t="s">
        <v>43</v>
      </c>
      <c r="Q198" s="63" t="s">
        <v>42</v>
      </c>
      <c r="R198" s="65" t="s">
        <v>41</v>
      </c>
      <c r="S198" s="66" t="s">
        <v>42</v>
      </c>
      <c r="T198" s="65" t="s">
        <v>41</v>
      </c>
      <c r="U198" s="66" t="s">
        <v>42</v>
      </c>
    </row>
    <row r="199" spans="1:21" ht="18.75" customHeight="1">
      <c r="A199" s="498" t="s">
        <v>86</v>
      </c>
      <c r="B199" s="452"/>
      <c r="C199" s="452"/>
      <c r="D199" s="483"/>
      <c r="E199" s="484"/>
      <c r="F199" s="485"/>
      <c r="G199" s="454"/>
      <c r="H199" s="486"/>
      <c r="I199" s="454"/>
      <c r="J199" s="486"/>
      <c r="K199" s="487"/>
      <c r="L199" s="451"/>
      <c r="M199" s="484"/>
      <c r="N199" s="485"/>
      <c r="O199" s="454"/>
      <c r="P199" s="486"/>
      <c r="Q199" s="454"/>
      <c r="R199" s="486"/>
      <c r="S199" s="503"/>
      <c r="T199" s="486"/>
      <c r="U199" s="503"/>
    </row>
    <row r="200" spans="1:21" ht="18.75" customHeight="1">
      <c r="A200" s="496" t="s">
        <v>33</v>
      </c>
      <c r="B200" s="225"/>
      <c r="C200" s="225"/>
      <c r="D200" s="403"/>
      <c r="E200" s="130"/>
      <c r="F200" s="131"/>
      <c r="G200" s="132"/>
      <c r="H200" s="133"/>
      <c r="I200" s="132"/>
      <c r="J200" s="40"/>
      <c r="K200" s="44"/>
      <c r="L200" s="381"/>
      <c r="M200" s="98"/>
      <c r="N200" s="90"/>
      <c r="O200" s="99"/>
      <c r="P200" s="100"/>
      <c r="Q200" s="99"/>
      <c r="R200" s="272"/>
      <c r="S200" s="273"/>
      <c r="T200" s="272"/>
      <c r="U200" s="273"/>
    </row>
    <row r="201" spans="1:33" ht="18.75" customHeight="1">
      <c r="A201" s="496" t="s">
        <v>72</v>
      </c>
      <c r="B201" s="225"/>
      <c r="C201" s="504" t="s">
        <v>155</v>
      </c>
      <c r="D201" s="404" t="s">
        <v>44</v>
      </c>
      <c r="E201" s="206">
        <v>4.2</v>
      </c>
      <c r="F201" s="133">
        <v>10</v>
      </c>
      <c r="G201" s="142">
        <f>E201*F201</f>
        <v>42</v>
      </c>
      <c r="H201" s="237">
        <v>10</v>
      </c>
      <c r="I201" s="132">
        <f>E201*H201</f>
        <v>42</v>
      </c>
      <c r="J201" s="16">
        <v>10</v>
      </c>
      <c r="K201" s="44">
        <f>E201*J201</f>
        <v>42</v>
      </c>
      <c r="L201" s="394" t="s">
        <v>155</v>
      </c>
      <c r="M201" s="206">
        <v>5.9</v>
      </c>
      <c r="N201" s="90">
        <v>10</v>
      </c>
      <c r="O201" s="89">
        <f>M201*N201</f>
        <v>59</v>
      </c>
      <c r="P201" s="237">
        <v>10</v>
      </c>
      <c r="Q201" s="87">
        <f>M201*P201</f>
        <v>59</v>
      </c>
      <c r="R201" s="375">
        <v>10</v>
      </c>
      <c r="S201" s="263">
        <f>M201*R201</f>
        <v>59</v>
      </c>
      <c r="T201" s="375">
        <v>10</v>
      </c>
      <c r="U201" s="263">
        <f aca="true" t="shared" si="78" ref="U201:U206">M201*T201</f>
        <v>59</v>
      </c>
      <c r="AG201" s="50"/>
    </row>
    <row r="202" spans="1:21" ht="18.75" customHeight="1">
      <c r="A202" s="228"/>
      <c r="B202" s="225"/>
      <c r="C202" s="225"/>
      <c r="D202" s="410"/>
      <c r="E202" s="210"/>
      <c r="F202" s="133">
        <v>0</v>
      </c>
      <c r="G202" s="123">
        <f>E202*F202</f>
        <v>0</v>
      </c>
      <c r="H202" s="237">
        <v>0</v>
      </c>
      <c r="I202" s="120">
        <f>E202*H202</f>
        <v>0</v>
      </c>
      <c r="J202" s="16">
        <v>0</v>
      </c>
      <c r="K202" s="38">
        <f>E202*J202</f>
        <v>0</v>
      </c>
      <c r="L202" s="388"/>
      <c r="M202" s="210"/>
      <c r="N202" s="90"/>
      <c r="O202" s="106">
        <f>M202*N202</f>
        <v>0</v>
      </c>
      <c r="P202" s="236"/>
      <c r="Q202" s="87">
        <f>M202*P202</f>
        <v>0</v>
      </c>
      <c r="R202" s="374"/>
      <c r="S202" s="263">
        <f>M202*R202</f>
        <v>0</v>
      </c>
      <c r="T202" s="374"/>
      <c r="U202" s="263">
        <f t="shared" si="78"/>
        <v>0</v>
      </c>
    </row>
    <row r="203" spans="1:21" ht="18.75" customHeight="1">
      <c r="A203" s="228"/>
      <c r="B203" s="225"/>
      <c r="C203" s="225"/>
      <c r="D203" s="404"/>
      <c r="E203" s="206"/>
      <c r="F203" s="147"/>
      <c r="G203" s="132"/>
      <c r="H203" s="147"/>
      <c r="I203" s="132"/>
      <c r="J203" s="42"/>
      <c r="K203" s="44"/>
      <c r="L203" s="381" t="s">
        <v>80</v>
      </c>
      <c r="M203" s="210">
        <v>7.5</v>
      </c>
      <c r="N203" s="90">
        <v>1</v>
      </c>
      <c r="O203" s="87">
        <f>M203*N203</f>
        <v>7.5</v>
      </c>
      <c r="P203" s="91">
        <v>1</v>
      </c>
      <c r="Q203" s="87">
        <f>M203*P203</f>
        <v>7.5</v>
      </c>
      <c r="R203" s="264">
        <v>1</v>
      </c>
      <c r="S203" s="263">
        <f>M203*R203</f>
        <v>7.5</v>
      </c>
      <c r="T203" s="264">
        <v>1</v>
      </c>
      <c r="U203" s="263">
        <f t="shared" si="78"/>
        <v>7.5</v>
      </c>
    </row>
    <row r="204" spans="1:33" s="35" customFormat="1" ht="18.75" customHeight="1">
      <c r="A204" s="496" t="s">
        <v>49</v>
      </c>
      <c r="B204" s="225"/>
      <c r="C204" s="225"/>
      <c r="D204" s="404" t="s">
        <v>50</v>
      </c>
      <c r="E204" s="206">
        <v>7.3</v>
      </c>
      <c r="F204" s="133">
        <v>3</v>
      </c>
      <c r="G204" s="132">
        <f>E204*F204</f>
        <v>21.9</v>
      </c>
      <c r="H204" s="237">
        <v>3</v>
      </c>
      <c r="I204" s="132">
        <f>E204*H204</f>
        <v>21.9</v>
      </c>
      <c r="J204" s="16">
        <v>3</v>
      </c>
      <c r="K204" s="44">
        <f>E204*J204</f>
        <v>21.9</v>
      </c>
      <c r="L204" s="381"/>
      <c r="M204" s="206">
        <v>7.3</v>
      </c>
      <c r="N204" s="90">
        <v>3</v>
      </c>
      <c r="O204" s="87">
        <f>M204*N204</f>
        <v>21.9</v>
      </c>
      <c r="P204" s="237">
        <v>3</v>
      </c>
      <c r="Q204" s="87">
        <f>M204*P204</f>
        <v>21.9</v>
      </c>
      <c r="R204" s="375">
        <v>3</v>
      </c>
      <c r="S204" s="263">
        <f>M204*R204</f>
        <v>21.9</v>
      </c>
      <c r="T204" s="375">
        <v>3</v>
      </c>
      <c r="U204" s="263">
        <f t="shared" si="78"/>
        <v>21.9</v>
      </c>
      <c r="V204"/>
      <c r="W204" s="7"/>
      <c r="X204" s="7"/>
      <c r="Y204" s="7"/>
      <c r="Z204" s="7"/>
      <c r="AA204" s="7"/>
      <c r="AB204" s="60"/>
      <c r="AC204" s="7"/>
      <c r="AD204" s="56"/>
      <c r="AE204" s="7"/>
      <c r="AF204" s="7"/>
      <c r="AG204" s="7"/>
    </row>
    <row r="205" spans="1:21" ht="18.75" customHeight="1">
      <c r="A205" s="496" t="s">
        <v>54</v>
      </c>
      <c r="B205" s="225"/>
      <c r="C205" s="225"/>
      <c r="D205" s="404" t="s">
        <v>42</v>
      </c>
      <c r="E205" s="130">
        <v>0.5</v>
      </c>
      <c r="F205" s="135">
        <f>(SUM(G200:G204)+27.8)</f>
        <v>91.7</v>
      </c>
      <c r="G205" s="132"/>
      <c r="H205" s="136">
        <f>(SUM(I200:I204)+27.8)</f>
        <v>91.7</v>
      </c>
      <c r="I205" s="132"/>
      <c r="J205" s="41">
        <f>(SUM(K200:K204)+27.8)</f>
        <v>91.7</v>
      </c>
      <c r="K205" s="44"/>
      <c r="L205" s="381"/>
      <c r="M205" s="98">
        <v>0.5</v>
      </c>
      <c r="N205" s="101">
        <f>(SUM(O200:O204)+42)</f>
        <v>130.4</v>
      </c>
      <c r="O205" s="99"/>
      <c r="P205" s="102">
        <f>(SUM(Q200:Q204)+42)</f>
        <v>130.4</v>
      </c>
      <c r="Q205" s="99"/>
      <c r="R205" s="274">
        <f>(SUM(S200:S204)+42)</f>
        <v>130.4</v>
      </c>
      <c r="S205" s="273"/>
      <c r="T205" s="274">
        <f>(SUM(U200:U204)+42)</f>
        <v>130.4</v>
      </c>
      <c r="U205" s="263"/>
    </row>
    <row r="206" spans="1:21" ht="18.75" customHeight="1" thickBot="1">
      <c r="A206" s="505" t="s">
        <v>56</v>
      </c>
      <c r="B206" s="225"/>
      <c r="C206" s="225"/>
      <c r="D206" s="405" t="s">
        <v>42</v>
      </c>
      <c r="E206" s="126">
        <v>0.05</v>
      </c>
      <c r="F206" s="137">
        <f>+E205*F205</f>
        <v>45.85</v>
      </c>
      <c r="G206" s="138">
        <f>E206*F206</f>
        <v>2.2925</v>
      </c>
      <c r="H206" s="139">
        <f>+E205*H205</f>
        <v>45.85</v>
      </c>
      <c r="I206" s="138">
        <f>E206*H206</f>
        <v>2.2925</v>
      </c>
      <c r="J206" s="32">
        <f>+E205*J205</f>
        <v>45.85</v>
      </c>
      <c r="K206" s="371">
        <f>E206*J206</f>
        <v>2.2925</v>
      </c>
      <c r="L206" s="381"/>
      <c r="M206" s="94">
        <v>0.05</v>
      </c>
      <c r="N206" s="103">
        <f>+M205*N205</f>
        <v>65.2</v>
      </c>
      <c r="O206" s="104">
        <f>M206*N206</f>
        <v>3.2600000000000002</v>
      </c>
      <c r="P206" s="105">
        <f>+M205*P205</f>
        <v>65.2</v>
      </c>
      <c r="Q206" s="104">
        <f>M206*P206</f>
        <v>3.2600000000000002</v>
      </c>
      <c r="R206" s="274">
        <f>+M205*R205</f>
        <v>65.2</v>
      </c>
      <c r="S206" s="273">
        <f>M206*R206</f>
        <v>3.2600000000000002</v>
      </c>
      <c r="T206" s="266">
        <f>+M205*T205</f>
        <v>65.2</v>
      </c>
      <c r="U206" s="263">
        <f t="shared" si="78"/>
        <v>3.2600000000000002</v>
      </c>
    </row>
    <row r="207" spans="1:21" ht="18.75" thickBot="1">
      <c r="A207" s="179" t="s">
        <v>59</v>
      </c>
      <c r="B207" s="222"/>
      <c r="C207" s="222"/>
      <c r="D207" s="201"/>
      <c r="E207" s="198"/>
      <c r="F207" s="199"/>
      <c r="G207" s="183">
        <f>SUM(G200:G206)</f>
        <v>66.1925</v>
      </c>
      <c r="H207" s="180"/>
      <c r="I207" s="183">
        <f>SUM(I200:I206)</f>
        <v>66.1925</v>
      </c>
      <c r="J207" s="184"/>
      <c r="K207" s="203">
        <f>SUM(K200:K206)</f>
        <v>66.1925</v>
      </c>
      <c r="L207" s="396"/>
      <c r="M207" s="185"/>
      <c r="N207" s="186"/>
      <c r="O207" s="187">
        <f>SUM(O200:O206)</f>
        <v>91.66000000000001</v>
      </c>
      <c r="P207" s="188"/>
      <c r="Q207" s="202">
        <f>SUM(Q200:Q206)</f>
        <v>91.66000000000001</v>
      </c>
      <c r="R207" s="447"/>
      <c r="S207" s="446">
        <f>SUM(S200:S206)</f>
        <v>91.66000000000001</v>
      </c>
      <c r="T207" s="447"/>
      <c r="U207" s="446">
        <f>SUM(U200:U206)</f>
        <v>91.66000000000001</v>
      </c>
    </row>
    <row r="208" spans="1:21" ht="15.75">
      <c r="A208" s="228"/>
      <c r="B208" s="225"/>
      <c r="C208" s="225"/>
      <c r="D208" s="408" t="s">
        <v>39</v>
      </c>
      <c r="E208" s="45" t="s">
        <v>40</v>
      </c>
      <c r="F208" s="62" t="s">
        <v>41</v>
      </c>
      <c r="G208" s="63" t="s">
        <v>42</v>
      </c>
      <c r="H208" s="65" t="s">
        <v>43</v>
      </c>
      <c r="I208" s="63" t="s">
        <v>42</v>
      </c>
      <c r="J208" s="65" t="s">
        <v>41</v>
      </c>
      <c r="K208" s="68" t="s">
        <v>42</v>
      </c>
      <c r="L208" s="392"/>
      <c r="M208" s="45" t="s">
        <v>40</v>
      </c>
      <c r="N208" s="62" t="s">
        <v>41</v>
      </c>
      <c r="O208" s="63" t="s">
        <v>42</v>
      </c>
      <c r="P208" s="65" t="s">
        <v>43</v>
      </c>
      <c r="Q208" s="63" t="s">
        <v>42</v>
      </c>
      <c r="R208" s="65" t="s">
        <v>41</v>
      </c>
      <c r="S208" s="66" t="s">
        <v>42</v>
      </c>
      <c r="T208" s="65" t="s">
        <v>41</v>
      </c>
      <c r="U208" s="66" t="s">
        <v>42</v>
      </c>
    </row>
    <row r="209" spans="1:21" ht="18.75">
      <c r="A209" s="498" t="s">
        <v>107</v>
      </c>
      <c r="B209" s="455"/>
      <c r="C209" s="455"/>
      <c r="D209" s="476" t="s">
        <v>44</v>
      </c>
      <c r="E209" s="477"/>
      <c r="F209" s="478">
        <v>4000</v>
      </c>
      <c r="G209" s="479"/>
      <c r="H209" s="476">
        <v>5000</v>
      </c>
      <c r="I209" s="479"/>
      <c r="J209" s="476">
        <v>6000</v>
      </c>
      <c r="K209" s="479"/>
      <c r="L209" s="480"/>
      <c r="M209" s="477"/>
      <c r="N209" s="478">
        <v>4000</v>
      </c>
      <c r="O209" s="479"/>
      <c r="P209" s="476">
        <v>4000</v>
      </c>
      <c r="Q209" s="479"/>
      <c r="R209" s="476">
        <v>4000</v>
      </c>
      <c r="S209" s="499"/>
      <c r="T209" s="476">
        <v>4000</v>
      </c>
      <c r="U209" s="499"/>
    </row>
    <row r="210" spans="1:21" ht="18">
      <c r="A210" s="496" t="s">
        <v>33</v>
      </c>
      <c r="B210" s="225"/>
      <c r="C210" s="225"/>
      <c r="D210" s="403"/>
      <c r="E210" s="130"/>
      <c r="F210" s="131"/>
      <c r="G210" s="132"/>
      <c r="H210" s="133"/>
      <c r="I210" s="132"/>
      <c r="J210" s="40"/>
      <c r="K210" s="44"/>
      <c r="L210" s="381"/>
      <c r="M210" s="98"/>
      <c r="N210" s="90"/>
      <c r="O210" s="99"/>
      <c r="P210" s="100"/>
      <c r="Q210" s="99"/>
      <c r="R210" s="281"/>
      <c r="S210" s="271"/>
      <c r="T210" s="281"/>
      <c r="U210" s="271"/>
    </row>
    <row r="211" spans="1:21" ht="15.75">
      <c r="A211" s="496" t="s">
        <v>101</v>
      </c>
      <c r="B211" s="225"/>
      <c r="C211" s="225"/>
      <c r="D211" s="404" t="s">
        <v>44</v>
      </c>
      <c r="E211" s="206">
        <v>3.5</v>
      </c>
      <c r="F211" s="133">
        <v>9</v>
      </c>
      <c r="G211" s="132">
        <f>E211*F211</f>
        <v>31.5</v>
      </c>
      <c r="H211" s="237">
        <v>9</v>
      </c>
      <c r="I211" s="132">
        <f>E211*H211</f>
        <v>31.5</v>
      </c>
      <c r="J211" s="16">
        <v>9</v>
      </c>
      <c r="K211" s="44">
        <f>E211*J211</f>
        <v>31.5</v>
      </c>
      <c r="L211" s="388"/>
      <c r="M211" s="206">
        <v>3.5</v>
      </c>
      <c r="N211" s="100">
        <v>9</v>
      </c>
      <c r="O211" s="99">
        <f>M211*N211</f>
        <v>31.5</v>
      </c>
      <c r="P211" s="237">
        <v>9</v>
      </c>
      <c r="Q211" s="99">
        <f>M211*P211</f>
        <v>31.5</v>
      </c>
      <c r="R211" s="375">
        <v>9</v>
      </c>
      <c r="S211" s="273">
        <f>M211*R211</f>
        <v>31.5</v>
      </c>
      <c r="T211" s="375">
        <v>9</v>
      </c>
      <c r="U211" s="263">
        <f aca="true" t="shared" si="79" ref="U211:U220">M211*T211</f>
        <v>31.5</v>
      </c>
    </row>
    <row r="212" spans="1:21" ht="15.75">
      <c r="A212" s="496" t="s">
        <v>73</v>
      </c>
      <c r="B212" s="225"/>
      <c r="C212" s="225"/>
      <c r="D212" s="404" t="s">
        <v>44</v>
      </c>
      <c r="E212" s="209">
        <f>E9</f>
        <v>0.44</v>
      </c>
      <c r="F212" s="133">
        <v>390</v>
      </c>
      <c r="G212" s="132">
        <f>E212*F212</f>
        <v>171.6</v>
      </c>
      <c r="H212" s="237">
        <v>430</v>
      </c>
      <c r="I212" s="132">
        <f>E212*H212</f>
        <v>189.2</v>
      </c>
      <c r="J212" s="16">
        <v>450</v>
      </c>
      <c r="K212" s="44">
        <f>E212*J212</f>
        <v>198</v>
      </c>
      <c r="L212" s="388" t="s">
        <v>79</v>
      </c>
      <c r="M212" s="209">
        <f>E10</f>
        <v>0.265</v>
      </c>
      <c r="N212" s="100">
        <v>800</v>
      </c>
      <c r="O212" s="99">
        <f>M212*N212</f>
        <v>212</v>
      </c>
      <c r="P212" s="237">
        <v>1000</v>
      </c>
      <c r="Q212" s="99">
        <f>M212*P212</f>
        <v>265</v>
      </c>
      <c r="R212" s="375">
        <v>1200</v>
      </c>
      <c r="S212" s="273">
        <f>M212*R212</f>
        <v>318</v>
      </c>
      <c r="T212" s="375">
        <v>1200</v>
      </c>
      <c r="U212" s="263">
        <f t="shared" si="79"/>
        <v>318</v>
      </c>
    </row>
    <row r="213" spans="1:21" ht="15.75">
      <c r="A213" s="496" t="s">
        <v>63</v>
      </c>
      <c r="B213" s="225"/>
      <c r="C213" s="225"/>
      <c r="D213" s="404" t="s">
        <v>44</v>
      </c>
      <c r="E213" s="209">
        <f>E5</f>
        <v>0.315</v>
      </c>
      <c r="F213" s="133">
        <v>0</v>
      </c>
      <c r="G213" s="132">
        <f>E213*F213</f>
        <v>0</v>
      </c>
      <c r="H213" s="237">
        <v>0</v>
      </c>
      <c r="I213" s="132">
        <f>E213*H213</f>
        <v>0</v>
      </c>
      <c r="J213" s="16">
        <v>0</v>
      </c>
      <c r="K213" s="44">
        <f>E213*J213</f>
        <v>0</v>
      </c>
      <c r="L213" s="388" t="s">
        <v>80</v>
      </c>
      <c r="M213" s="210">
        <v>7.5</v>
      </c>
      <c r="N213" s="100">
        <v>1</v>
      </c>
      <c r="O213" s="87">
        <f>M213*N213</f>
        <v>7.5</v>
      </c>
      <c r="P213" s="91">
        <v>1</v>
      </c>
      <c r="Q213" s="87">
        <f>M213*P213</f>
        <v>7.5</v>
      </c>
      <c r="R213" s="264">
        <v>1</v>
      </c>
      <c r="S213" s="263">
        <f>M213*R213</f>
        <v>7.5</v>
      </c>
      <c r="T213" s="264">
        <v>1</v>
      </c>
      <c r="U213" s="263">
        <f t="shared" si="79"/>
        <v>7.5</v>
      </c>
    </row>
    <row r="214" spans="1:21" ht="15.75">
      <c r="A214" s="500" t="s">
        <v>94</v>
      </c>
      <c r="B214" s="225"/>
      <c r="C214" s="225"/>
      <c r="D214" s="404" t="s">
        <v>11</v>
      </c>
      <c r="E214" s="206">
        <v>11</v>
      </c>
      <c r="F214" s="133">
        <v>1</v>
      </c>
      <c r="G214" s="132">
        <f>E214*F214</f>
        <v>11</v>
      </c>
      <c r="H214" s="134">
        <v>1</v>
      </c>
      <c r="I214" s="132">
        <f>E214*H214</f>
        <v>11</v>
      </c>
      <c r="J214" s="16">
        <v>1</v>
      </c>
      <c r="K214" s="44">
        <f>E214*J214</f>
        <v>11</v>
      </c>
      <c r="L214" s="388"/>
      <c r="M214" s="206"/>
      <c r="N214" s="100">
        <v>1</v>
      </c>
      <c r="O214" s="99">
        <f>M214*N214</f>
        <v>0</v>
      </c>
      <c r="P214" s="91">
        <v>1</v>
      </c>
      <c r="Q214" s="99">
        <f>M214*P214</f>
        <v>0</v>
      </c>
      <c r="R214" s="264">
        <v>1</v>
      </c>
      <c r="S214" s="273">
        <f>M214*R214</f>
        <v>0</v>
      </c>
      <c r="T214" s="264">
        <v>1</v>
      </c>
      <c r="U214" s="263">
        <f t="shared" si="79"/>
        <v>0</v>
      </c>
    </row>
    <row r="215" spans="1:21" ht="15.75">
      <c r="A215" s="496" t="s">
        <v>108</v>
      </c>
      <c r="B215" s="225"/>
      <c r="C215" s="225"/>
      <c r="D215" s="404" t="s">
        <v>109</v>
      </c>
      <c r="E215" s="209">
        <f>'[1]Hinnat'!$I$18</f>
        <v>0.006</v>
      </c>
      <c r="F215" s="136">
        <v>1</v>
      </c>
      <c r="G215" s="132">
        <f>F215*E215</f>
        <v>0.006</v>
      </c>
      <c r="H215" s="136">
        <v>942</v>
      </c>
      <c r="I215" s="132">
        <f>H215*E215</f>
        <v>5.652</v>
      </c>
      <c r="J215" s="41" t="e">
        <f>10*0.01884*#REF!</f>
        <v>#REF!</v>
      </c>
      <c r="K215" s="44" t="e">
        <f>J215*E215</f>
        <v>#REF!</v>
      </c>
      <c r="L215" s="388"/>
      <c r="M215" s="209">
        <f>'[1]Hinnat'!$I$18</f>
        <v>0.006</v>
      </c>
      <c r="N215" s="102" t="e">
        <f>10*0.01884*#REF!</f>
        <v>#REF!</v>
      </c>
      <c r="O215" s="99" t="e">
        <f>N215*M215</f>
        <v>#REF!</v>
      </c>
      <c r="P215" s="102">
        <v>754</v>
      </c>
      <c r="Q215" s="99">
        <f>P215*M215</f>
        <v>4.524</v>
      </c>
      <c r="R215" s="274">
        <v>754</v>
      </c>
      <c r="S215" s="273">
        <f>R215*M215</f>
        <v>4.524</v>
      </c>
      <c r="T215" s="274">
        <v>754</v>
      </c>
      <c r="U215" s="263">
        <f t="shared" si="79"/>
        <v>4.524</v>
      </c>
    </row>
    <row r="216" spans="1:33" ht="15.75">
      <c r="A216" s="496" t="s">
        <v>75</v>
      </c>
      <c r="B216" s="225"/>
      <c r="C216" s="225"/>
      <c r="D216" s="404" t="s">
        <v>76</v>
      </c>
      <c r="E216" s="206">
        <v>0</v>
      </c>
      <c r="F216" s="136">
        <f>(D197*5)/1000</f>
        <v>0</v>
      </c>
      <c r="G216" s="132">
        <f>F216*E216</f>
        <v>0</v>
      </c>
      <c r="H216" s="136">
        <f>(F197*5)/1000</f>
        <v>0</v>
      </c>
      <c r="I216" s="132">
        <f>H216*E216</f>
        <v>0</v>
      </c>
      <c r="J216" s="41">
        <f>(H197*5)/1000</f>
        <v>0</v>
      </c>
      <c r="K216" s="44">
        <f>J216*E216</f>
        <v>0</v>
      </c>
      <c r="L216" s="388"/>
      <c r="M216" s="206">
        <v>0</v>
      </c>
      <c r="N216" s="102">
        <f>(L197*5)/1000</f>
        <v>0</v>
      </c>
      <c r="O216" s="99">
        <f>N216*M216</f>
        <v>0</v>
      </c>
      <c r="P216" s="102">
        <f>(N197*5)/1000</f>
        <v>0</v>
      </c>
      <c r="Q216" s="99">
        <f>P216*M216</f>
        <v>0</v>
      </c>
      <c r="R216" s="274">
        <f>(P197*5)/1000</f>
        <v>0</v>
      </c>
      <c r="S216" s="273">
        <f>R216*M216</f>
        <v>0</v>
      </c>
      <c r="T216" s="274">
        <f>(R197*5)/1000</f>
        <v>0</v>
      </c>
      <c r="U216" s="263">
        <f t="shared" si="79"/>
        <v>0</v>
      </c>
      <c r="AG216" s="55"/>
    </row>
    <row r="217" spans="1:33" ht="15.75">
      <c r="A217" s="496" t="s">
        <v>139</v>
      </c>
      <c r="B217" s="225"/>
      <c r="C217" s="225"/>
      <c r="D217" s="404" t="s">
        <v>44</v>
      </c>
      <c r="E217" s="206">
        <v>0</v>
      </c>
      <c r="F217" s="147">
        <f>(D197*0.3)/1000</f>
        <v>0</v>
      </c>
      <c r="G217" s="132">
        <f>F217*E217</f>
        <v>0</v>
      </c>
      <c r="H217" s="147">
        <f>(F197*0.3)/1000</f>
        <v>0</v>
      </c>
      <c r="I217" s="132">
        <f>H217*E217</f>
        <v>0</v>
      </c>
      <c r="J217" s="42">
        <f>(H197*0.3)/1000</f>
        <v>0</v>
      </c>
      <c r="K217" s="44">
        <f>J217*E217</f>
        <v>0</v>
      </c>
      <c r="L217" s="388"/>
      <c r="M217" s="206">
        <v>0</v>
      </c>
      <c r="N217" s="110">
        <f>(L197*0.3)/1000</f>
        <v>0</v>
      </c>
      <c r="O217" s="99">
        <f>N217*M217</f>
        <v>0</v>
      </c>
      <c r="P217" s="110">
        <f>(N197*0.3)/1000</f>
        <v>0</v>
      </c>
      <c r="Q217" s="99">
        <f>P217*M217</f>
        <v>0</v>
      </c>
      <c r="R217" s="283">
        <f>(P197*0.3)/1000</f>
        <v>0</v>
      </c>
      <c r="S217" s="273">
        <f>R217*M217</f>
        <v>0</v>
      </c>
      <c r="T217" s="283">
        <f>(R197*0.3)/1000</f>
        <v>0</v>
      </c>
      <c r="U217" s="263">
        <f t="shared" si="79"/>
        <v>0</v>
      </c>
      <c r="AG217" s="55"/>
    </row>
    <row r="218" spans="1:33" s="35" customFormat="1" ht="18.75" customHeight="1">
      <c r="A218" s="496" t="s">
        <v>49</v>
      </c>
      <c r="B218" s="225"/>
      <c r="C218" s="225"/>
      <c r="D218" s="404" t="s">
        <v>50</v>
      </c>
      <c r="E218" s="206">
        <v>7.3</v>
      </c>
      <c r="F218" s="133">
        <v>14</v>
      </c>
      <c r="G218" s="132">
        <f>E218*F218</f>
        <v>102.2</v>
      </c>
      <c r="H218" s="134">
        <v>15</v>
      </c>
      <c r="I218" s="132">
        <f>E218*H218</f>
        <v>109.5</v>
      </c>
      <c r="J218" s="16">
        <v>16</v>
      </c>
      <c r="K218" s="44">
        <f>E218*J218</f>
        <v>116.8</v>
      </c>
      <c r="L218" s="388"/>
      <c r="M218" s="206">
        <v>7.3</v>
      </c>
      <c r="N218" s="100">
        <v>14</v>
      </c>
      <c r="O218" s="99">
        <f>M218*N218</f>
        <v>102.2</v>
      </c>
      <c r="P218" s="91">
        <v>15</v>
      </c>
      <c r="Q218" s="99">
        <f>M218*P218</f>
        <v>109.5</v>
      </c>
      <c r="R218" s="264">
        <v>16</v>
      </c>
      <c r="S218" s="273">
        <f>M218*R218</f>
        <v>116.8</v>
      </c>
      <c r="T218" s="264">
        <v>16</v>
      </c>
      <c r="U218" s="263">
        <f t="shared" si="79"/>
        <v>116.8</v>
      </c>
      <c r="V218"/>
      <c r="W218" s="7"/>
      <c r="X218" s="7"/>
      <c r="Y218" s="7"/>
      <c r="Z218" s="7"/>
      <c r="AA218" s="7"/>
      <c r="AB218" s="60"/>
      <c r="AC218" s="7"/>
      <c r="AD218" s="56"/>
      <c r="AE218" s="7"/>
      <c r="AF218" s="7"/>
      <c r="AG218" s="55"/>
    </row>
    <row r="219" spans="1:33" ht="15.75">
      <c r="A219" s="496" t="s">
        <v>54</v>
      </c>
      <c r="B219" s="225"/>
      <c r="C219" s="225"/>
      <c r="D219" s="404" t="s">
        <v>42</v>
      </c>
      <c r="E219" s="146">
        <v>0.5</v>
      </c>
      <c r="F219" s="136">
        <f>(SUM(G211:G218)+236)</f>
        <v>552.306</v>
      </c>
      <c r="G219" s="132"/>
      <c r="H219" s="136">
        <f>(SUM(I211:I218)+236)</f>
        <v>582.852</v>
      </c>
      <c r="I219" s="132"/>
      <c r="J219" s="41">
        <f>(SUM(I209:I218)+264)</f>
        <v>610.852</v>
      </c>
      <c r="K219" s="44"/>
      <c r="L219" s="388"/>
      <c r="M219" s="98">
        <v>0.5</v>
      </c>
      <c r="N219" s="102">
        <f>(SUM(M209:M218)+209)</f>
        <v>227.571</v>
      </c>
      <c r="O219" s="99"/>
      <c r="P219" s="102">
        <f>(SUM(Q209:Q218)+236)</f>
        <v>654.024</v>
      </c>
      <c r="Q219" s="99"/>
      <c r="R219" s="274">
        <f>(SUM(Q209:Q218)+264)</f>
        <v>682.024</v>
      </c>
      <c r="S219" s="273"/>
      <c r="T219" s="274">
        <f>(SUM(S209:S218)+264)</f>
        <v>742.3240000000001</v>
      </c>
      <c r="U219" s="263"/>
      <c r="AG219" s="55"/>
    </row>
    <row r="220" spans="1:33" ht="16.5" thickBot="1">
      <c r="A220" s="500" t="s">
        <v>56</v>
      </c>
      <c r="B220" s="225"/>
      <c r="C220" s="225"/>
      <c r="D220" s="400" t="s">
        <v>42</v>
      </c>
      <c r="E220" s="205">
        <f>'[1]Hinnat'!$F$2</f>
        <v>0.05</v>
      </c>
      <c r="F220" s="125">
        <f>+E219*F219</f>
        <v>276.153</v>
      </c>
      <c r="G220" s="120">
        <f>E220*F220</f>
        <v>13.807650000000002</v>
      </c>
      <c r="H220" s="125">
        <f>+E219*H219</f>
        <v>291.426</v>
      </c>
      <c r="I220" s="120">
        <f>E220*H220</f>
        <v>14.5713</v>
      </c>
      <c r="J220" s="39">
        <f>+E219*J219</f>
        <v>305.426</v>
      </c>
      <c r="K220" s="38">
        <f>E220*J220</f>
        <v>15.2713</v>
      </c>
      <c r="L220" s="388"/>
      <c r="M220" s="84">
        <f>'[1]Hinnat'!$F$2</f>
        <v>0.05</v>
      </c>
      <c r="N220" s="92">
        <f>+M219*N219</f>
        <v>113.7855</v>
      </c>
      <c r="O220" s="87">
        <f>M220*N220</f>
        <v>5.689275</v>
      </c>
      <c r="P220" s="93">
        <f>+M219*P219</f>
        <v>327.012</v>
      </c>
      <c r="Q220" s="87">
        <f>M220*P220</f>
        <v>16.3506</v>
      </c>
      <c r="R220" s="269">
        <f>+M219*R219</f>
        <v>341.012</v>
      </c>
      <c r="S220" s="270">
        <f>M220*R220</f>
        <v>17.0506</v>
      </c>
      <c r="T220" s="266">
        <f>+M219*T219</f>
        <v>371.16200000000003</v>
      </c>
      <c r="U220" s="263">
        <f t="shared" si="79"/>
        <v>18.558100000000003</v>
      </c>
      <c r="AG220" s="55"/>
    </row>
    <row r="221" spans="1:33" ht="18.75" thickBot="1">
      <c r="A221" s="179" t="s">
        <v>59</v>
      </c>
      <c r="B221" s="222"/>
      <c r="C221" s="222"/>
      <c r="D221" s="201"/>
      <c r="E221" s="198"/>
      <c r="F221" s="199"/>
      <c r="G221" s="183">
        <f>SUM(G211:G220)</f>
        <v>330.11365</v>
      </c>
      <c r="H221" s="180"/>
      <c r="I221" s="183">
        <f>SUM(I211:I220)</f>
        <v>361.4233</v>
      </c>
      <c r="J221" s="184"/>
      <c r="K221" s="203" t="e">
        <f>SUM(K211:K220)</f>
        <v>#REF!</v>
      </c>
      <c r="L221" s="396"/>
      <c r="M221" s="185"/>
      <c r="N221" s="186"/>
      <c r="O221" s="187" t="e">
        <f>SUM(O211:O220)</f>
        <v>#REF!</v>
      </c>
      <c r="P221" s="188"/>
      <c r="Q221" s="187">
        <f>SUM(Q211:Q220)</f>
        <v>434.3746</v>
      </c>
      <c r="R221" s="284"/>
      <c r="S221" s="285">
        <f>SUM(S211:S220)</f>
        <v>495.3746</v>
      </c>
      <c r="T221" s="447"/>
      <c r="U221" s="446">
        <f>SUM(U211:U220)</f>
        <v>496.88210000000004</v>
      </c>
      <c r="AG221" s="55"/>
    </row>
    <row r="222" spans="1:33" ht="15.75">
      <c r="A222" s="228"/>
      <c r="B222" s="225"/>
      <c r="C222" s="225"/>
      <c r="D222" s="408" t="s">
        <v>39</v>
      </c>
      <c r="E222" s="45" t="s">
        <v>40</v>
      </c>
      <c r="F222" s="62" t="s">
        <v>41</v>
      </c>
      <c r="G222" s="63" t="s">
        <v>42</v>
      </c>
      <c r="H222" s="64" t="s">
        <v>43</v>
      </c>
      <c r="I222" s="63" t="s">
        <v>42</v>
      </c>
      <c r="J222" s="65" t="s">
        <v>41</v>
      </c>
      <c r="K222" s="68" t="s">
        <v>42</v>
      </c>
      <c r="L222" s="386"/>
      <c r="M222" s="45" t="s">
        <v>40</v>
      </c>
      <c r="N222" s="62" t="s">
        <v>41</v>
      </c>
      <c r="O222" s="63" t="s">
        <v>42</v>
      </c>
      <c r="P222" s="64" t="s">
        <v>43</v>
      </c>
      <c r="Q222" s="63" t="s">
        <v>42</v>
      </c>
      <c r="R222" s="439" t="s">
        <v>41</v>
      </c>
      <c r="S222" s="440" t="s">
        <v>42</v>
      </c>
      <c r="T222" s="439" t="s">
        <v>41</v>
      </c>
      <c r="U222" s="440" t="s">
        <v>42</v>
      </c>
      <c r="AG222" s="55"/>
    </row>
    <row r="223" spans="1:33" ht="18.75">
      <c r="A223" s="498" t="s">
        <v>153</v>
      </c>
      <c r="B223" s="455"/>
      <c r="C223" s="455"/>
      <c r="D223" s="476" t="s">
        <v>44</v>
      </c>
      <c r="E223" s="481"/>
      <c r="F223" s="478">
        <v>2000</v>
      </c>
      <c r="G223" s="479"/>
      <c r="H223" s="476">
        <f>'C1-alue'!D13</f>
        <v>2500</v>
      </c>
      <c r="I223" s="479"/>
      <c r="J223" s="476">
        <v>3000</v>
      </c>
      <c r="K223" s="479"/>
      <c r="L223" s="469"/>
      <c r="M223" s="481"/>
      <c r="N223" s="482">
        <v>1000</v>
      </c>
      <c r="O223" s="473"/>
      <c r="P223" s="463">
        <f>'C1-alue'!D66</f>
        <v>1700</v>
      </c>
      <c r="Q223" s="473"/>
      <c r="R223" s="463">
        <f>'C1-alue'!D28</f>
        <v>1700</v>
      </c>
      <c r="S223" s="499"/>
      <c r="T223" s="463">
        <f>'C1-alue'!D45</f>
        <v>1700</v>
      </c>
      <c r="U223" s="499"/>
      <c r="AG223" s="55"/>
    </row>
    <row r="224" spans="1:33" ht="15.75">
      <c r="A224" s="496" t="s">
        <v>33</v>
      </c>
      <c r="B224" s="225"/>
      <c r="C224" s="225"/>
      <c r="D224" s="403"/>
      <c r="E224" s="130"/>
      <c r="F224" s="131"/>
      <c r="G224" s="132"/>
      <c r="H224" s="133"/>
      <c r="I224" s="132"/>
      <c r="J224" s="40"/>
      <c r="K224" s="44"/>
      <c r="L224" s="381"/>
      <c r="M224" s="98"/>
      <c r="N224" s="90"/>
      <c r="O224" s="99"/>
      <c r="P224" s="100"/>
      <c r="Q224" s="99"/>
      <c r="R224" s="272"/>
      <c r="S224" s="273"/>
      <c r="T224" s="272"/>
      <c r="U224" s="273"/>
      <c r="AG224" s="55"/>
    </row>
    <row r="225" spans="1:33" ht="15.75">
      <c r="A225" s="496" t="s">
        <v>69</v>
      </c>
      <c r="B225" s="225"/>
      <c r="C225" s="225"/>
      <c r="D225" s="404" t="s">
        <v>44</v>
      </c>
      <c r="E225" s="206">
        <v>4.9</v>
      </c>
      <c r="F225" s="133">
        <v>5</v>
      </c>
      <c r="G225" s="132">
        <f>E225*F225</f>
        <v>24.5</v>
      </c>
      <c r="H225" s="237">
        <v>5</v>
      </c>
      <c r="I225" s="132">
        <f>E225*H225</f>
        <v>24.5</v>
      </c>
      <c r="J225" s="16">
        <v>5</v>
      </c>
      <c r="K225" s="44">
        <f>E225*J225</f>
        <v>24.5</v>
      </c>
      <c r="L225" s="381"/>
      <c r="M225" s="206">
        <v>4.9</v>
      </c>
      <c r="N225" s="100">
        <v>5</v>
      </c>
      <c r="O225" s="87">
        <f aca="true" t="shared" si="80" ref="O225:O234">M225*N225</f>
        <v>24.5</v>
      </c>
      <c r="P225" s="237">
        <v>5</v>
      </c>
      <c r="Q225" s="87">
        <f aca="true" t="shared" si="81" ref="Q225:Q234">M225*P225</f>
        <v>24.5</v>
      </c>
      <c r="R225" s="375">
        <v>5</v>
      </c>
      <c r="S225" s="263">
        <f aca="true" t="shared" si="82" ref="S225:S234">M225*R225</f>
        <v>24.5</v>
      </c>
      <c r="T225" s="375">
        <v>5</v>
      </c>
      <c r="U225" s="263">
        <f aca="true" t="shared" si="83" ref="U225:U236">M225*T225</f>
        <v>24.5</v>
      </c>
      <c r="AG225" s="55"/>
    </row>
    <row r="226" spans="1:33" ht="15.75">
      <c r="A226" s="526" t="s">
        <v>172</v>
      </c>
      <c r="B226" s="225"/>
      <c r="C226" s="225"/>
      <c r="D226" s="404" t="s">
        <v>44</v>
      </c>
      <c r="E226" s="209">
        <f>E6</f>
        <v>0.462</v>
      </c>
      <c r="F226" s="133">
        <v>120</v>
      </c>
      <c r="G226" s="132">
        <f>E226*F226</f>
        <v>55.440000000000005</v>
      </c>
      <c r="H226" s="237">
        <v>150</v>
      </c>
      <c r="I226" s="132">
        <f>E226*H226</f>
        <v>69.3</v>
      </c>
      <c r="J226" s="16">
        <v>140</v>
      </c>
      <c r="K226" s="44">
        <f>E226*J226</f>
        <v>64.68</v>
      </c>
      <c r="L226" s="381" t="s">
        <v>79</v>
      </c>
      <c r="M226" s="211">
        <f>E10</f>
        <v>0.265</v>
      </c>
      <c r="N226" s="86">
        <v>0</v>
      </c>
      <c r="O226" s="87">
        <f t="shared" si="80"/>
        <v>0</v>
      </c>
      <c r="P226" s="233">
        <v>1000</v>
      </c>
      <c r="Q226" s="87">
        <f t="shared" si="81"/>
        <v>265</v>
      </c>
      <c r="R226" s="373">
        <v>1000</v>
      </c>
      <c r="S226" s="263">
        <f t="shared" si="82"/>
        <v>265</v>
      </c>
      <c r="T226" s="373">
        <v>1000</v>
      </c>
      <c r="U226" s="263">
        <f t="shared" si="83"/>
        <v>265</v>
      </c>
      <c r="AG226" s="55"/>
    </row>
    <row r="227" spans="1:33" ht="15.75">
      <c r="A227" s="496" t="s">
        <v>63</v>
      </c>
      <c r="B227" s="225"/>
      <c r="C227" s="225"/>
      <c r="D227" s="404" t="s">
        <v>44</v>
      </c>
      <c r="E227" s="209">
        <f>E5</f>
        <v>0.315</v>
      </c>
      <c r="F227" s="133">
        <v>370</v>
      </c>
      <c r="G227" s="132">
        <f>F227*E227</f>
        <v>116.55</v>
      </c>
      <c r="H227" s="237">
        <v>370</v>
      </c>
      <c r="I227" s="132">
        <f>H227*E227</f>
        <v>116.55</v>
      </c>
      <c r="J227" s="16">
        <v>400</v>
      </c>
      <c r="K227" s="44">
        <f>J227*E227</f>
        <v>126</v>
      </c>
      <c r="L227" s="381"/>
      <c r="M227" s="209"/>
      <c r="N227" s="100"/>
      <c r="O227" s="87">
        <f t="shared" si="80"/>
        <v>0</v>
      </c>
      <c r="P227" s="91"/>
      <c r="Q227" s="87">
        <f t="shared" si="81"/>
        <v>0</v>
      </c>
      <c r="R227" s="264"/>
      <c r="S227" s="263">
        <f t="shared" si="82"/>
        <v>0</v>
      </c>
      <c r="T227" s="264"/>
      <c r="U227" s="263">
        <f t="shared" si="83"/>
        <v>0</v>
      </c>
      <c r="AG227" s="55"/>
    </row>
    <row r="228" spans="1:33" ht="15.75">
      <c r="A228" s="496" t="s">
        <v>47</v>
      </c>
      <c r="B228" s="225"/>
      <c r="C228" s="225"/>
      <c r="D228" s="404" t="s">
        <v>58</v>
      </c>
      <c r="E228" s="207">
        <v>40</v>
      </c>
      <c r="F228" s="133">
        <v>0</v>
      </c>
      <c r="G228" s="132">
        <f aca="true" t="shared" si="84" ref="G228:G234">E228*F228</f>
        <v>0</v>
      </c>
      <c r="H228" s="134">
        <v>0.25</v>
      </c>
      <c r="I228" s="132">
        <f aca="true" t="shared" si="85" ref="I228:I234">E228*H228</f>
        <v>10</v>
      </c>
      <c r="J228" s="16">
        <v>0.5</v>
      </c>
      <c r="K228" s="44">
        <f aca="true" t="shared" si="86" ref="K228:K234">E228*J228</f>
        <v>20</v>
      </c>
      <c r="L228" s="381"/>
      <c r="M228" s="207">
        <v>40</v>
      </c>
      <c r="N228" s="100">
        <v>0</v>
      </c>
      <c r="O228" s="87">
        <f t="shared" si="80"/>
        <v>0</v>
      </c>
      <c r="P228" s="91">
        <v>0</v>
      </c>
      <c r="Q228" s="87">
        <f t="shared" si="81"/>
        <v>0</v>
      </c>
      <c r="R228" s="264">
        <v>0.25</v>
      </c>
      <c r="S228" s="263">
        <f t="shared" si="82"/>
        <v>10</v>
      </c>
      <c r="T228" s="264">
        <v>0.25</v>
      </c>
      <c r="U228" s="263">
        <f t="shared" si="83"/>
        <v>10</v>
      </c>
      <c r="AG228" s="55"/>
    </row>
    <row r="229" spans="1:33" ht="15.75">
      <c r="A229" s="500" t="s">
        <v>94</v>
      </c>
      <c r="B229" s="225"/>
      <c r="C229" s="225"/>
      <c r="D229" s="400" t="s">
        <v>11</v>
      </c>
      <c r="E229" s="208">
        <v>62</v>
      </c>
      <c r="F229" s="133">
        <v>1</v>
      </c>
      <c r="G229" s="132">
        <f t="shared" si="84"/>
        <v>62</v>
      </c>
      <c r="H229" s="134">
        <v>1</v>
      </c>
      <c r="I229" s="132">
        <f t="shared" si="85"/>
        <v>62</v>
      </c>
      <c r="J229" s="16">
        <v>1</v>
      </c>
      <c r="K229" s="44">
        <f t="shared" si="86"/>
        <v>62</v>
      </c>
      <c r="L229" s="381" t="s">
        <v>81</v>
      </c>
      <c r="M229" s="208">
        <v>0</v>
      </c>
      <c r="N229" s="100">
        <v>0</v>
      </c>
      <c r="O229" s="87">
        <f t="shared" si="80"/>
        <v>0</v>
      </c>
      <c r="P229" s="91">
        <v>0</v>
      </c>
      <c r="Q229" s="87">
        <f t="shared" si="81"/>
        <v>0</v>
      </c>
      <c r="R229" s="264">
        <v>0</v>
      </c>
      <c r="S229" s="263">
        <f t="shared" si="82"/>
        <v>0</v>
      </c>
      <c r="T229" s="264">
        <v>0</v>
      </c>
      <c r="U229" s="263">
        <f t="shared" si="83"/>
        <v>0</v>
      </c>
      <c r="AG229" s="55"/>
    </row>
    <row r="230" spans="1:33" ht="15.75">
      <c r="A230" s="500" t="s">
        <v>94</v>
      </c>
      <c r="B230" s="225"/>
      <c r="C230" s="225"/>
      <c r="D230" s="400" t="s">
        <v>70</v>
      </c>
      <c r="E230" s="208">
        <v>0</v>
      </c>
      <c r="F230" s="133">
        <v>0.7</v>
      </c>
      <c r="G230" s="132">
        <f t="shared" si="84"/>
        <v>0</v>
      </c>
      <c r="H230" s="134">
        <v>1</v>
      </c>
      <c r="I230" s="132">
        <f t="shared" si="85"/>
        <v>0</v>
      </c>
      <c r="J230" s="16">
        <v>1.5</v>
      </c>
      <c r="K230" s="44">
        <f t="shared" si="86"/>
        <v>0</v>
      </c>
      <c r="L230" s="381" t="s">
        <v>80</v>
      </c>
      <c r="M230" s="210">
        <v>7.5</v>
      </c>
      <c r="N230" s="100">
        <v>1</v>
      </c>
      <c r="O230" s="87">
        <f t="shared" si="80"/>
        <v>7.5</v>
      </c>
      <c r="P230" s="91">
        <v>1</v>
      </c>
      <c r="Q230" s="87">
        <f t="shared" si="81"/>
        <v>7.5</v>
      </c>
      <c r="R230" s="264">
        <v>1</v>
      </c>
      <c r="S230" s="263">
        <f t="shared" si="82"/>
        <v>7.5</v>
      </c>
      <c r="T230" s="264">
        <v>1</v>
      </c>
      <c r="U230" s="263">
        <f t="shared" si="83"/>
        <v>7.5</v>
      </c>
      <c r="AG230" s="55"/>
    </row>
    <row r="231" spans="1:33" ht="15.75">
      <c r="A231" s="496" t="s">
        <v>64</v>
      </c>
      <c r="B231" s="225"/>
      <c r="C231" s="225"/>
      <c r="D231" s="404" t="s">
        <v>50</v>
      </c>
      <c r="E231" s="206">
        <v>7.3</v>
      </c>
      <c r="F231" s="133">
        <v>8.5</v>
      </c>
      <c r="G231" s="132">
        <f t="shared" si="84"/>
        <v>62.05</v>
      </c>
      <c r="H231" s="131">
        <v>8.5</v>
      </c>
      <c r="I231" s="132">
        <f t="shared" si="85"/>
        <v>62.05</v>
      </c>
      <c r="J231" s="40">
        <v>8.5</v>
      </c>
      <c r="K231" s="44">
        <f t="shared" si="86"/>
        <v>62.05</v>
      </c>
      <c r="L231" s="381"/>
      <c r="M231" s="206">
        <v>7.3</v>
      </c>
      <c r="N231" s="100">
        <v>8</v>
      </c>
      <c r="O231" s="87">
        <f t="shared" si="80"/>
        <v>58.4</v>
      </c>
      <c r="P231" s="91">
        <v>9</v>
      </c>
      <c r="Q231" s="87">
        <f t="shared" si="81"/>
        <v>65.7</v>
      </c>
      <c r="R231" s="264">
        <v>9</v>
      </c>
      <c r="S231" s="263">
        <f t="shared" si="82"/>
        <v>65.7</v>
      </c>
      <c r="T231" s="264">
        <v>9</v>
      </c>
      <c r="U231" s="263">
        <f t="shared" si="83"/>
        <v>65.7</v>
      </c>
      <c r="AG231" s="55"/>
    </row>
    <row r="232" spans="1:33" ht="15.75">
      <c r="A232" s="496" t="s">
        <v>65</v>
      </c>
      <c r="B232" s="225"/>
      <c r="C232" s="225"/>
      <c r="D232" s="404" t="s">
        <v>50</v>
      </c>
      <c r="E232" s="206">
        <v>7.3</v>
      </c>
      <c r="F232" s="133">
        <v>1.9</v>
      </c>
      <c r="G232" s="132">
        <f t="shared" si="84"/>
        <v>13.87</v>
      </c>
      <c r="H232" s="134">
        <v>1.9</v>
      </c>
      <c r="I232" s="132">
        <f t="shared" si="85"/>
        <v>13.87</v>
      </c>
      <c r="J232" s="16">
        <v>1.9</v>
      </c>
      <c r="K232" s="44">
        <f t="shared" si="86"/>
        <v>13.87</v>
      </c>
      <c r="L232" s="381"/>
      <c r="M232" s="206">
        <v>7.3</v>
      </c>
      <c r="N232" s="100">
        <v>1.9</v>
      </c>
      <c r="O232" s="87">
        <f t="shared" si="80"/>
        <v>13.87</v>
      </c>
      <c r="P232" s="91">
        <v>1.9</v>
      </c>
      <c r="Q232" s="87">
        <f t="shared" si="81"/>
        <v>13.87</v>
      </c>
      <c r="R232" s="264">
        <v>1.9</v>
      </c>
      <c r="S232" s="263">
        <f t="shared" si="82"/>
        <v>13.87</v>
      </c>
      <c r="T232" s="264">
        <v>1.9</v>
      </c>
      <c r="U232" s="263">
        <f t="shared" si="83"/>
        <v>13.87</v>
      </c>
      <c r="AG232" s="55"/>
    </row>
    <row r="233" spans="1:35" ht="18.75">
      <c r="A233" s="496" t="s">
        <v>66</v>
      </c>
      <c r="B233" s="225"/>
      <c r="C233" s="225"/>
      <c r="D233" s="404" t="s">
        <v>44</v>
      </c>
      <c r="E233" s="209">
        <v>0.011</v>
      </c>
      <c r="F233" s="133">
        <f>F223</f>
        <v>2000</v>
      </c>
      <c r="G233" s="132">
        <f t="shared" si="84"/>
        <v>22</v>
      </c>
      <c r="H233" s="134">
        <f>H223</f>
        <v>2500</v>
      </c>
      <c r="I233" s="132">
        <f t="shared" si="85"/>
        <v>27.5</v>
      </c>
      <c r="J233" s="16">
        <f>J223</f>
        <v>3000</v>
      </c>
      <c r="K233" s="44">
        <f t="shared" si="86"/>
        <v>33</v>
      </c>
      <c r="L233" s="381"/>
      <c r="M233" s="209">
        <v>0.011</v>
      </c>
      <c r="N233" s="100">
        <f>N223</f>
        <v>1000</v>
      </c>
      <c r="O233" s="87">
        <f t="shared" si="80"/>
        <v>11</v>
      </c>
      <c r="P233" s="91">
        <f>P223</f>
        <v>1700</v>
      </c>
      <c r="Q233" s="87">
        <f t="shared" si="81"/>
        <v>18.7</v>
      </c>
      <c r="R233" s="264">
        <f>R223</f>
        <v>1700</v>
      </c>
      <c r="S233" s="263">
        <f t="shared" si="82"/>
        <v>18.7</v>
      </c>
      <c r="T233" s="264">
        <f>T223</f>
        <v>1700</v>
      </c>
      <c r="U233" s="263">
        <f t="shared" si="83"/>
        <v>18.7</v>
      </c>
      <c r="AG233" s="251"/>
      <c r="AH233" s="245"/>
      <c r="AI233" s="245"/>
    </row>
    <row r="234" spans="1:35" ht="18.75" customHeight="1">
      <c r="A234" s="496" t="s">
        <v>53</v>
      </c>
      <c r="B234" s="225"/>
      <c r="C234" s="225"/>
      <c r="D234" s="404" t="s">
        <v>44</v>
      </c>
      <c r="E234" s="209">
        <v>0.016</v>
      </c>
      <c r="F234" s="133">
        <f>F223</f>
        <v>2000</v>
      </c>
      <c r="G234" s="132">
        <f t="shared" si="84"/>
        <v>32</v>
      </c>
      <c r="H234" s="134">
        <f>H223</f>
        <v>2500</v>
      </c>
      <c r="I234" s="132">
        <f t="shared" si="85"/>
        <v>40</v>
      </c>
      <c r="J234" s="16">
        <f>J223</f>
        <v>3000</v>
      </c>
      <c r="K234" s="44">
        <f t="shared" si="86"/>
        <v>48</v>
      </c>
      <c r="L234" s="381"/>
      <c r="M234" s="209">
        <v>0.016</v>
      </c>
      <c r="N234" s="100">
        <f>N223</f>
        <v>1000</v>
      </c>
      <c r="O234" s="87">
        <f t="shared" si="80"/>
        <v>16</v>
      </c>
      <c r="P234" s="91">
        <f>P223</f>
        <v>1700</v>
      </c>
      <c r="Q234" s="87">
        <f t="shared" si="81"/>
        <v>27.2</v>
      </c>
      <c r="R234" s="264">
        <f>R223</f>
        <v>1700</v>
      </c>
      <c r="S234" s="263">
        <f t="shared" si="82"/>
        <v>27.2</v>
      </c>
      <c r="T234" s="264">
        <f>T223</f>
        <v>1700</v>
      </c>
      <c r="U234" s="263">
        <f t="shared" si="83"/>
        <v>27.2</v>
      </c>
      <c r="AG234" s="55"/>
      <c r="AH234" s="245"/>
      <c r="AI234" s="245"/>
    </row>
    <row r="235" spans="1:35" ht="18.75" customHeight="1">
      <c r="A235" s="496" t="s">
        <v>54</v>
      </c>
      <c r="B235" s="225"/>
      <c r="C235" s="225"/>
      <c r="D235" s="404" t="s">
        <v>42</v>
      </c>
      <c r="E235" s="130">
        <v>0.5</v>
      </c>
      <c r="F235" s="135">
        <f>(SUM(G225:G234)+167)</f>
        <v>555.4100000000001</v>
      </c>
      <c r="G235" s="132"/>
      <c r="H235" s="136">
        <f>(SUM(I225:I234)+167)</f>
        <v>592.77</v>
      </c>
      <c r="I235" s="132"/>
      <c r="J235" s="41">
        <f>(SUM(K225:K234)+167)</f>
        <v>621.1</v>
      </c>
      <c r="K235" s="44"/>
      <c r="L235" s="381"/>
      <c r="M235" s="98">
        <v>0.5</v>
      </c>
      <c r="N235" s="101">
        <f>(SUM(O225:O234)+167)</f>
        <v>298.27</v>
      </c>
      <c r="O235" s="99"/>
      <c r="P235" s="102">
        <f>(SUM(Q225:Q234)+167)</f>
        <v>589.47</v>
      </c>
      <c r="Q235" s="99"/>
      <c r="R235" s="274">
        <f>(SUM(S225:S234)+167)</f>
        <v>599.47</v>
      </c>
      <c r="S235" s="273"/>
      <c r="T235" s="274">
        <f>(SUM(U225:U234)+167)</f>
        <v>599.47</v>
      </c>
      <c r="U235" s="263"/>
      <c r="AH235" s="245"/>
      <c r="AI235" s="245"/>
    </row>
    <row r="236" spans="1:35" ht="18.75" customHeight="1" thickBot="1">
      <c r="A236" s="496" t="s">
        <v>56</v>
      </c>
      <c r="B236" s="441"/>
      <c r="C236" s="441"/>
      <c r="D236" s="404" t="s">
        <v>42</v>
      </c>
      <c r="E236" s="130">
        <v>0.05</v>
      </c>
      <c r="F236" s="135">
        <f>+E235*F235</f>
        <v>277.70500000000004</v>
      </c>
      <c r="G236" s="132">
        <f>E236*F236</f>
        <v>13.885250000000003</v>
      </c>
      <c r="H236" s="136">
        <f>+E235*H235</f>
        <v>296.385</v>
      </c>
      <c r="I236" s="132">
        <f>E236*H236</f>
        <v>14.81925</v>
      </c>
      <c r="J236" s="41">
        <f>+E235*J235</f>
        <v>310.55</v>
      </c>
      <c r="K236" s="44">
        <f>E236*J236</f>
        <v>15.527500000000002</v>
      </c>
      <c r="L236" s="397"/>
      <c r="M236" s="98">
        <v>0.05</v>
      </c>
      <c r="N236" s="101">
        <f>+M235*N235</f>
        <v>149.135</v>
      </c>
      <c r="O236" s="99">
        <f>M236*N236</f>
        <v>7.4567499999999995</v>
      </c>
      <c r="P236" s="102">
        <f>+M235*P235</f>
        <v>294.735</v>
      </c>
      <c r="Q236" s="99">
        <f>M236*P236</f>
        <v>14.73675</v>
      </c>
      <c r="R236" s="274">
        <f>+M235*R235</f>
        <v>299.735</v>
      </c>
      <c r="S236" s="273">
        <f>M236*R236</f>
        <v>14.98675</v>
      </c>
      <c r="T236" s="266">
        <f>+M235*T235</f>
        <v>299.735</v>
      </c>
      <c r="U236" s="263">
        <f t="shared" si="83"/>
        <v>14.98675</v>
      </c>
      <c r="AH236" s="245"/>
      <c r="AI236" s="245"/>
    </row>
    <row r="237" spans="1:35" ht="18.75" customHeight="1" thickBot="1">
      <c r="A237" s="168" t="s">
        <v>59</v>
      </c>
      <c r="B237" s="170"/>
      <c r="C237" s="170"/>
      <c r="D237" s="407"/>
      <c r="E237" s="152"/>
      <c r="F237" s="159"/>
      <c r="G237" s="153">
        <f>SUM(G224:G236)</f>
        <v>402.29525</v>
      </c>
      <c r="H237" s="154"/>
      <c r="I237" s="153">
        <f>SUM(I224:I236)</f>
        <v>440.58925000000005</v>
      </c>
      <c r="J237" s="161"/>
      <c r="K237" s="368">
        <f>SUM(K224:K236)</f>
        <v>469.6275</v>
      </c>
      <c r="L237" s="443"/>
      <c r="M237" s="156"/>
      <c r="N237" s="160"/>
      <c r="O237" s="157">
        <f>SUM(O224:O236)</f>
        <v>138.72675</v>
      </c>
      <c r="P237" s="158"/>
      <c r="Q237" s="157">
        <f>SUM(Q224:Q236)</f>
        <v>437.20674999999994</v>
      </c>
      <c r="R237" s="444"/>
      <c r="S237" s="262">
        <f>SUM(S224:S236)</f>
        <v>447.45674999999994</v>
      </c>
      <c r="T237" s="444"/>
      <c r="U237" s="262">
        <f>SUM(U224:U236)</f>
        <v>447.45674999999994</v>
      </c>
      <c r="AH237" s="245"/>
      <c r="AI237" s="245"/>
    </row>
    <row r="238" spans="34:35" ht="18.75" customHeight="1">
      <c r="AH238" s="245"/>
      <c r="AI238" s="245"/>
    </row>
    <row r="239" spans="1:35" ht="18.75" customHeight="1">
      <c r="A239" s="171" t="s">
        <v>89</v>
      </c>
      <c r="AH239" s="245"/>
      <c r="AI239" s="245"/>
    </row>
    <row r="240" spans="34:35" ht="18.75" customHeight="1">
      <c r="AH240" s="245"/>
      <c r="AI240" s="245"/>
    </row>
    <row r="241" spans="1:35" ht="18.75" customHeight="1">
      <c r="A241" s="72" t="s">
        <v>147</v>
      </c>
      <c r="AH241" s="245"/>
      <c r="AI241" s="245"/>
    </row>
    <row r="242" spans="1:35" ht="18.75" customHeight="1">
      <c r="A242" s="72" t="s">
        <v>91</v>
      </c>
      <c r="AH242" s="245"/>
      <c r="AI242" s="245"/>
    </row>
    <row r="243" spans="34:35" ht="18.75" customHeight="1">
      <c r="AH243" s="245"/>
      <c r="AI243" s="245"/>
    </row>
    <row r="244" spans="1:35" ht="18.75" customHeight="1">
      <c r="A244" s="72" t="s">
        <v>141</v>
      </c>
      <c r="AH244" s="245"/>
      <c r="AI244" s="245"/>
    </row>
    <row r="245" spans="1:35" ht="18.75" customHeight="1">
      <c r="A245" s="172" t="s">
        <v>159</v>
      </c>
      <c r="AH245" s="245"/>
      <c r="AI245" s="245"/>
    </row>
    <row r="246" spans="1:35" ht="18.75" customHeight="1">
      <c r="A246" s="72" t="s">
        <v>88</v>
      </c>
      <c r="AH246" s="245"/>
      <c r="AI246" s="245"/>
    </row>
    <row r="247" spans="1:35" ht="18.75" customHeight="1">
      <c r="A247" s="72" t="s">
        <v>142</v>
      </c>
      <c r="AH247" s="245"/>
      <c r="AI247" s="245"/>
    </row>
    <row r="248" spans="1:35" ht="18.75" customHeight="1">
      <c r="A248" s="72" t="s">
        <v>143</v>
      </c>
      <c r="AH248" s="245"/>
      <c r="AI248" s="245"/>
    </row>
    <row r="249" spans="1:35" ht="18.75" customHeight="1">
      <c r="A249" s="72" t="s">
        <v>144</v>
      </c>
      <c r="AH249" s="245"/>
      <c r="AI249" s="245"/>
    </row>
    <row r="250" spans="1:35" s="35" customFormat="1" ht="18.75" customHeight="1">
      <c r="A250" s="72" t="s">
        <v>145</v>
      </c>
      <c r="B250" s="25"/>
      <c r="C250" s="25"/>
      <c r="D250"/>
      <c r="E250"/>
      <c r="F250"/>
      <c r="G250"/>
      <c r="H250"/>
      <c r="I250"/>
      <c r="J250"/>
      <c r="K250"/>
      <c r="L250"/>
      <c r="M250"/>
      <c r="N250"/>
      <c r="O250"/>
      <c r="P250"/>
      <c r="Q250"/>
      <c r="R250"/>
      <c r="S250"/>
      <c r="T250"/>
      <c r="V250"/>
      <c r="W250" s="7"/>
      <c r="X250" s="7"/>
      <c r="Y250" s="7"/>
      <c r="Z250" s="7"/>
      <c r="AA250" s="7"/>
      <c r="AB250" s="60"/>
      <c r="AC250" s="7"/>
      <c r="AD250" s="56"/>
      <c r="AE250" s="7"/>
      <c r="AF250" s="7"/>
      <c r="AG250" s="7"/>
      <c r="AH250" s="252"/>
      <c r="AI250" s="252"/>
    </row>
    <row r="251" spans="1:35" ht="18.75">
      <c r="A251" s="72" t="s">
        <v>87</v>
      </c>
      <c r="AH251" s="245"/>
      <c r="AI251" s="245"/>
    </row>
    <row r="252" ht="18.75">
      <c r="A252" s="30" t="s">
        <v>177</v>
      </c>
    </row>
    <row r="254" ht="21">
      <c r="A254" s="173" t="s">
        <v>90</v>
      </c>
    </row>
    <row r="255" ht="21">
      <c r="A255" s="173" t="s">
        <v>148</v>
      </c>
    </row>
  </sheetData>
  <sheetProtection password="9C73" sheet="1" selectLockedCells="1" selectUnlockedCells="1"/>
  <mergeCells count="18">
    <mergeCell ref="V47:AC47"/>
    <mergeCell ref="V48:AC48"/>
    <mergeCell ref="V49:AC49"/>
    <mergeCell ref="V41:AC41"/>
    <mergeCell ref="V42:AC42"/>
    <mergeCell ref="V43:AC43"/>
    <mergeCell ref="V44:AC44"/>
    <mergeCell ref="V45:AC45"/>
    <mergeCell ref="V46:AC46"/>
    <mergeCell ref="AD13:AD14"/>
    <mergeCell ref="L1:S6"/>
    <mergeCell ref="L7:S8"/>
    <mergeCell ref="T12:U12"/>
    <mergeCell ref="D12:I12"/>
    <mergeCell ref="L12:Q12"/>
    <mergeCell ref="A11:Q11"/>
    <mergeCell ref="R12:S12"/>
    <mergeCell ref="D1:H1"/>
  </mergeCells>
  <printOptions/>
  <pageMargins left="0.7086614173228347" right="0.7086614173228347" top="0.7480314960629921" bottom="0.7480314960629921" header="0.31496062992125984" footer="0.31496062992125984"/>
  <pageSetup fitToHeight="2" horizontalDpi="600" verticalDpi="600" orientation="portrait" paperSize="9" scale="43" r:id="rId1"/>
  <headerFooter>
    <oddFooter>&amp;C&amp;8Reijo Käki 2008
ProAgria Kymenlaakso</oddFooter>
  </headerFooter>
  <rowBreaks count="2" manualBreakCount="2">
    <brk id="99" max="18" man="1"/>
    <brk id="193" max="18" man="1"/>
  </rowBreaks>
</worksheet>
</file>

<file path=xl/worksheets/sheet2.xml><?xml version="1.0" encoding="utf-8"?>
<worksheet xmlns="http://schemas.openxmlformats.org/spreadsheetml/2006/main" xmlns:r="http://schemas.openxmlformats.org/officeDocument/2006/relationships">
  <dimension ref="A1:J240"/>
  <sheetViews>
    <sheetView showGridLines="0" zoomScale="85" zoomScaleNormal="85" workbookViewId="0" topLeftCell="A68">
      <selection activeCell="F6" sqref="F6:I75"/>
    </sheetView>
  </sheetViews>
  <sheetFormatPr defaultColWidth="9.00390625" defaultRowHeight="15.75"/>
  <cols>
    <col min="1" max="1" width="15.75390625" style="0" customWidth="1"/>
    <col min="2" max="2" width="9.125" style="0" bestFit="1" customWidth="1"/>
    <col min="3" max="3" width="5.00390625" style="0" customWidth="1"/>
    <col min="4" max="7" width="9.25390625" style="0" bestFit="1" customWidth="1"/>
    <col min="8" max="8" width="9.125" style="0" customWidth="1"/>
    <col min="9" max="9" width="9.125" style="0" bestFit="1" customWidth="1"/>
    <col min="10" max="10" width="11.375" style="7" customWidth="1"/>
    <col min="11" max="11" width="5.75390625" style="0" customWidth="1"/>
    <col min="12" max="12" width="34.375" style="0" customWidth="1"/>
    <col min="13" max="20" width="0" style="0" hidden="1" customWidth="1"/>
  </cols>
  <sheetData>
    <row r="1" ht="28.5">
      <c r="A1" s="1"/>
    </row>
    <row r="2" ht="28.5">
      <c r="C2" s="1" t="s">
        <v>85</v>
      </c>
    </row>
    <row r="4" spans="2:10" ht="20.25">
      <c r="B4" s="317" t="s">
        <v>0</v>
      </c>
      <c r="C4" s="2"/>
      <c r="D4" s="2"/>
      <c r="E4" s="2"/>
      <c r="F4" s="2"/>
      <c r="G4" s="3"/>
      <c r="H4" s="4"/>
      <c r="I4" s="5"/>
      <c r="J4" s="6"/>
    </row>
    <row r="5" spans="2:10" ht="15.75">
      <c r="B5" s="8"/>
      <c r="C5" s="8"/>
      <c r="D5" s="9"/>
      <c r="E5" s="10"/>
      <c r="F5" s="11" t="s">
        <v>1</v>
      </c>
      <c r="G5" s="12" t="s">
        <v>2</v>
      </c>
      <c r="H5" s="12" t="s">
        <v>3</v>
      </c>
      <c r="I5" s="12" t="s">
        <v>4</v>
      </c>
      <c r="J5" s="13"/>
    </row>
    <row r="6" spans="1:10" ht="15.75">
      <c r="A6" s="291" t="s">
        <v>5</v>
      </c>
      <c r="B6" s="292" t="s">
        <v>6</v>
      </c>
      <c r="C6" s="292"/>
      <c r="D6" s="293" t="s">
        <v>7</v>
      </c>
      <c r="E6" s="293" t="s">
        <v>8</v>
      </c>
      <c r="F6" s="294" t="s">
        <v>9</v>
      </c>
      <c r="G6" s="294" t="s">
        <v>9</v>
      </c>
      <c r="H6" s="294" t="s">
        <v>9</v>
      </c>
      <c r="I6" s="294" t="s">
        <v>9</v>
      </c>
      <c r="J6" s="295"/>
    </row>
    <row r="7" spans="1:10" ht="15.75">
      <c r="A7" s="246" t="s">
        <v>10</v>
      </c>
      <c r="B7" s="314">
        <v>10</v>
      </c>
      <c r="C7" s="294" t="s">
        <v>11</v>
      </c>
      <c r="D7" s="314">
        <v>3500</v>
      </c>
      <c r="E7" s="315">
        <v>0.14</v>
      </c>
      <c r="F7" s="296">
        <f aca="true" t="shared" si="0" ref="F7:F17">E7*D7</f>
        <v>490.00000000000006</v>
      </c>
      <c r="G7" s="296">
        <v>523</v>
      </c>
      <c r="H7" s="297">
        <f>'Muuttuvat kustannukset'!I28</f>
        <v>429.950775</v>
      </c>
      <c r="I7" s="298">
        <f aca="true" t="shared" si="1" ref="I7:I17">F7+G7-H7</f>
        <v>583.049225</v>
      </c>
      <c r="J7" s="299">
        <f aca="true" t="shared" si="2" ref="J7:J17">B7*I7</f>
        <v>5830.492249999999</v>
      </c>
    </row>
    <row r="8" spans="1:10" ht="15.75">
      <c r="A8" s="247" t="s">
        <v>13</v>
      </c>
      <c r="B8" s="314">
        <v>10</v>
      </c>
      <c r="C8" s="320" t="s">
        <v>11</v>
      </c>
      <c r="D8" s="314">
        <v>3000</v>
      </c>
      <c r="E8" s="315">
        <v>0.153</v>
      </c>
      <c r="F8" s="20">
        <f t="shared" si="0"/>
        <v>459</v>
      </c>
      <c r="G8" s="20">
        <v>561</v>
      </c>
      <c r="H8" s="47">
        <f>'Muuttuvat kustannukset'!I44</f>
        <v>426.80505</v>
      </c>
      <c r="I8" s="301">
        <f t="shared" si="1"/>
        <v>593.1949500000001</v>
      </c>
      <c r="J8" s="302">
        <f t="shared" si="2"/>
        <v>5931.949500000001</v>
      </c>
    </row>
    <row r="9" spans="1:10" ht="15.75">
      <c r="A9" s="248" t="s">
        <v>12</v>
      </c>
      <c r="B9" s="316"/>
      <c r="C9" s="320" t="s">
        <v>11</v>
      </c>
      <c r="D9" s="316">
        <v>3500</v>
      </c>
      <c r="E9" s="315">
        <v>0.125</v>
      </c>
      <c r="F9" s="20">
        <f t="shared" si="0"/>
        <v>437.5</v>
      </c>
      <c r="G9" s="20">
        <v>523</v>
      </c>
      <c r="H9" s="303">
        <f>'Muuttuvat kustannukset'!I60</f>
        <v>391.9038</v>
      </c>
      <c r="I9" s="301">
        <f t="shared" si="1"/>
        <v>568.5962</v>
      </c>
      <c r="J9" s="302">
        <f t="shared" si="2"/>
        <v>0</v>
      </c>
    </row>
    <row r="10" spans="1:10" ht="15.75">
      <c r="A10" s="247" t="s">
        <v>16</v>
      </c>
      <c r="B10" s="314">
        <v>20</v>
      </c>
      <c r="C10" s="320" t="s">
        <v>11</v>
      </c>
      <c r="D10" s="314">
        <v>3000</v>
      </c>
      <c r="E10" s="315">
        <v>0.17</v>
      </c>
      <c r="F10" s="20">
        <f t="shared" si="0"/>
        <v>510.00000000000006</v>
      </c>
      <c r="G10" s="20">
        <v>561</v>
      </c>
      <c r="H10" s="47">
        <f>'Muuttuvat kustannukset'!I77</f>
        <v>504.808575</v>
      </c>
      <c r="I10" s="301">
        <f t="shared" si="1"/>
        <v>566.191425</v>
      </c>
      <c r="J10" s="302">
        <f t="shared" si="2"/>
        <v>11323.8285</v>
      </c>
    </row>
    <row r="11" spans="1:10" ht="15.75">
      <c r="A11" s="247" t="s">
        <v>18</v>
      </c>
      <c r="B11" s="314"/>
      <c r="C11" s="320" t="s">
        <v>11</v>
      </c>
      <c r="D11" s="314">
        <v>3250</v>
      </c>
      <c r="E11" s="315">
        <v>0.2</v>
      </c>
      <c r="F11" s="20">
        <f t="shared" si="0"/>
        <v>650</v>
      </c>
      <c r="G11" s="20">
        <v>673</v>
      </c>
      <c r="H11" s="47">
        <f>'Muuttuvat kustannukset'!I94</f>
        <v>481.34000000000003</v>
      </c>
      <c r="I11" s="301">
        <f t="shared" si="1"/>
        <v>841.66</v>
      </c>
      <c r="J11" s="302">
        <f t="shared" si="2"/>
        <v>0</v>
      </c>
    </row>
    <row r="12" spans="1:10" ht="15.75">
      <c r="A12" s="247" t="s">
        <v>17</v>
      </c>
      <c r="B12" s="314">
        <v>10</v>
      </c>
      <c r="C12" s="320" t="s">
        <v>11</v>
      </c>
      <c r="D12" s="314">
        <v>1500</v>
      </c>
      <c r="E12" s="315">
        <v>0.36</v>
      </c>
      <c r="F12" s="20">
        <f t="shared" si="0"/>
        <v>540</v>
      </c>
      <c r="G12" s="20">
        <v>723</v>
      </c>
      <c r="H12" s="47">
        <f>'Muuttuvat kustannukset'!I109</f>
        <v>397.88775000000004</v>
      </c>
      <c r="I12" s="301">
        <f t="shared" si="1"/>
        <v>865.1122499999999</v>
      </c>
      <c r="J12" s="302">
        <f t="shared" si="2"/>
        <v>8651.1225</v>
      </c>
    </row>
    <row r="13" spans="1:10" ht="15.75">
      <c r="A13" s="341" t="s">
        <v>165</v>
      </c>
      <c r="B13" s="314"/>
      <c r="C13" s="320" t="s">
        <v>11</v>
      </c>
      <c r="D13" s="314">
        <v>2500</v>
      </c>
      <c r="E13" s="315">
        <v>0.36</v>
      </c>
      <c r="F13" s="20">
        <f>E13*D13</f>
        <v>900</v>
      </c>
      <c r="G13" s="20">
        <v>723</v>
      </c>
      <c r="H13" s="47">
        <f>'Muuttuvat kustannukset'!I237</f>
        <v>440.58925000000005</v>
      </c>
      <c r="I13" s="301">
        <f>F13+G13-H13</f>
        <v>1182.41075</v>
      </c>
      <c r="J13" s="302">
        <f>B13*I13</f>
        <v>0</v>
      </c>
    </row>
    <row r="14" spans="1:10" ht="15.75">
      <c r="A14" s="247" t="s">
        <v>149</v>
      </c>
      <c r="B14" s="314"/>
      <c r="C14" s="320" t="s">
        <v>11</v>
      </c>
      <c r="D14" s="314">
        <v>3500</v>
      </c>
      <c r="E14" s="315">
        <v>0.16</v>
      </c>
      <c r="F14" s="20">
        <f t="shared" si="0"/>
        <v>560</v>
      </c>
      <c r="G14" s="20">
        <v>723</v>
      </c>
      <c r="H14" s="47">
        <f>'Muuttuvat kustannukset'!I154</f>
        <v>460.97389999999996</v>
      </c>
      <c r="I14" s="301">
        <f t="shared" si="1"/>
        <v>822.0261</v>
      </c>
      <c r="J14" s="302">
        <f t="shared" si="2"/>
        <v>0</v>
      </c>
    </row>
    <row r="15" spans="1:10" ht="15.75">
      <c r="A15" s="247" t="s">
        <v>20</v>
      </c>
      <c r="B15" s="314"/>
      <c r="C15" s="320" t="s">
        <v>11</v>
      </c>
      <c r="D15" s="314">
        <v>0</v>
      </c>
      <c r="E15" s="315">
        <v>0</v>
      </c>
      <c r="F15" s="304">
        <f t="shared" si="0"/>
        <v>0</v>
      </c>
      <c r="G15" s="20">
        <v>523</v>
      </c>
      <c r="H15" s="47">
        <f>'Muuttuvat kustannukset'!I207</f>
        <v>66.1925</v>
      </c>
      <c r="I15" s="301">
        <f t="shared" si="1"/>
        <v>456.8075</v>
      </c>
      <c r="J15" s="302">
        <f t="shared" si="2"/>
        <v>0</v>
      </c>
    </row>
    <row r="16" spans="1:10" ht="15.75">
      <c r="A16" s="247" t="s">
        <v>162</v>
      </c>
      <c r="B16" s="314"/>
      <c r="C16" s="320" t="s">
        <v>11</v>
      </c>
      <c r="D16" s="314">
        <v>17900</v>
      </c>
      <c r="E16" s="315">
        <v>0.041</v>
      </c>
      <c r="F16" s="20">
        <f t="shared" si="0"/>
        <v>733.9</v>
      </c>
      <c r="G16" s="20">
        <v>523</v>
      </c>
      <c r="H16" s="47">
        <f>'Muuttuvat kustannukset'!I197</f>
        <v>556.7692075</v>
      </c>
      <c r="I16" s="301">
        <f t="shared" si="1"/>
        <v>700.1307925000001</v>
      </c>
      <c r="J16" s="302">
        <f t="shared" si="2"/>
        <v>0</v>
      </c>
    </row>
    <row r="17" spans="1:10" ht="15.75">
      <c r="A17" s="305" t="s">
        <v>156</v>
      </c>
      <c r="B17" s="314"/>
      <c r="C17" s="307"/>
      <c r="D17" s="314"/>
      <c r="E17" s="315"/>
      <c r="F17" s="306">
        <f t="shared" si="0"/>
        <v>0</v>
      </c>
      <c r="G17" s="307">
        <v>577</v>
      </c>
      <c r="H17" s="308">
        <f>'Muuttuvat kustannukset'!I207</f>
        <v>66.1925</v>
      </c>
      <c r="I17" s="309">
        <f t="shared" si="1"/>
        <v>510.8075</v>
      </c>
      <c r="J17" s="310">
        <f t="shared" si="2"/>
        <v>0</v>
      </c>
    </row>
    <row r="18" spans="1:10" ht="15.75">
      <c r="A18" s="311" t="s">
        <v>21</v>
      </c>
      <c r="B18" s="312">
        <f>SUM(B7:B17)</f>
        <v>50</v>
      </c>
      <c r="C18" s="509" t="s">
        <v>11</v>
      </c>
      <c r="D18" s="307"/>
      <c r="E18" s="307"/>
      <c r="F18" s="308"/>
      <c r="G18" s="308"/>
      <c r="H18" s="307" t="s">
        <v>23</v>
      </c>
      <c r="I18" s="308"/>
      <c r="J18" s="313">
        <f>SUM(J7:J17)</f>
        <v>31737.39275</v>
      </c>
    </row>
    <row r="19" spans="7:10" ht="15.75">
      <c r="G19" s="7"/>
      <c r="H19" s="7"/>
      <c r="I19" s="7"/>
      <c r="J19" s="73"/>
    </row>
    <row r="20" spans="1:10" ht="15.75">
      <c r="A20" s="79"/>
      <c r="G20" s="7"/>
      <c r="H20" s="7"/>
      <c r="I20" s="7"/>
      <c r="J20" s="74"/>
    </row>
    <row r="21" spans="2:10" ht="20.25">
      <c r="B21" s="317" t="s">
        <v>82</v>
      </c>
      <c r="C21" s="215"/>
      <c r="D21" s="215"/>
      <c r="E21" s="215"/>
      <c r="F21" s="21"/>
      <c r="G21" s="22"/>
      <c r="H21" s="22"/>
      <c r="I21" s="15"/>
      <c r="J21" s="74"/>
    </row>
    <row r="22" spans="1:10" ht="16.5" thickBot="1">
      <c r="A22" s="14"/>
      <c r="B22" s="8"/>
      <c r="C22" s="8"/>
      <c r="D22" s="9"/>
      <c r="F22" s="11" t="s">
        <v>1</v>
      </c>
      <c r="G22" s="12" t="s">
        <v>2</v>
      </c>
      <c r="H22" s="12" t="s">
        <v>3</v>
      </c>
      <c r="I22" s="12" t="s">
        <v>4</v>
      </c>
      <c r="J22" s="75"/>
    </row>
    <row r="23" spans="1:10" ht="16.5" thickBot="1">
      <c r="A23" s="19" t="s">
        <v>5</v>
      </c>
      <c r="B23" s="513" t="s">
        <v>6</v>
      </c>
      <c r="C23" s="514" t="s">
        <v>11</v>
      </c>
      <c r="D23" s="514" t="s">
        <v>7</v>
      </c>
      <c r="E23" s="514" t="s">
        <v>8</v>
      </c>
      <c r="F23" s="515" t="s">
        <v>9</v>
      </c>
      <c r="G23" s="515" t="s">
        <v>9</v>
      </c>
      <c r="H23" s="515" t="s">
        <v>9</v>
      </c>
      <c r="I23" s="516" t="s">
        <v>9</v>
      </c>
      <c r="J23" s="517"/>
    </row>
    <row r="24" spans="1:10" ht="15.75">
      <c r="A24" s="518" t="s">
        <v>12</v>
      </c>
      <c r="B24" s="349">
        <v>15</v>
      </c>
      <c r="C24" s="294" t="s">
        <v>11</v>
      </c>
      <c r="D24" s="349">
        <v>2000</v>
      </c>
      <c r="E24" s="339">
        <f>E9</f>
        <v>0.125</v>
      </c>
      <c r="F24" s="293">
        <f aca="true" t="shared" si="3" ref="F24:F33">E24*D24</f>
        <v>250</v>
      </c>
      <c r="G24" s="17">
        <v>664</v>
      </c>
      <c r="H24" s="297">
        <f>'Muuttuvat kustannukset'!S60</f>
        <v>217.90800000000002</v>
      </c>
      <c r="I24" s="340">
        <f aca="true" t="shared" si="4" ref="I24:I33">F24+G24-H24</f>
        <v>696.092</v>
      </c>
      <c r="J24" s="519">
        <f aca="true" t="shared" si="5" ref="J24:J33">B24*I24</f>
        <v>10441.38</v>
      </c>
    </row>
    <row r="25" spans="1:10" ht="15.75">
      <c r="A25" s="319" t="s">
        <v>163</v>
      </c>
      <c r="B25" s="349">
        <v>5</v>
      </c>
      <c r="C25" s="320" t="s">
        <v>11</v>
      </c>
      <c r="D25" s="349">
        <v>2000</v>
      </c>
      <c r="E25" s="338">
        <f>E10</f>
        <v>0.17</v>
      </c>
      <c r="F25" s="304">
        <f t="shared" si="3"/>
        <v>340</v>
      </c>
      <c r="G25" s="20">
        <v>702</v>
      </c>
      <c r="H25" s="47">
        <f>'Muuttuvat kustannukset'!S77</f>
        <v>275.897375</v>
      </c>
      <c r="I25" s="335">
        <f t="shared" si="4"/>
        <v>766.102625</v>
      </c>
      <c r="J25" s="321">
        <f t="shared" si="5"/>
        <v>3830.513125</v>
      </c>
    </row>
    <row r="26" spans="1:10" ht="15.75">
      <c r="A26" s="319" t="s">
        <v>18</v>
      </c>
      <c r="B26" s="349"/>
      <c r="C26" s="320" t="s">
        <v>11</v>
      </c>
      <c r="D26" s="349">
        <v>2500</v>
      </c>
      <c r="E26" s="338">
        <f>E11</f>
        <v>0.2</v>
      </c>
      <c r="F26" s="304">
        <f t="shared" si="3"/>
        <v>500</v>
      </c>
      <c r="G26" s="20">
        <v>814</v>
      </c>
      <c r="H26" s="47">
        <f>'Muuttuvat kustannukset'!S94</f>
        <v>383.555625</v>
      </c>
      <c r="I26" s="335">
        <f t="shared" si="4"/>
        <v>930.444375</v>
      </c>
      <c r="J26" s="321">
        <f t="shared" si="5"/>
        <v>0</v>
      </c>
    </row>
    <row r="27" spans="1:10" ht="15.75">
      <c r="A27" s="319" t="s">
        <v>17</v>
      </c>
      <c r="B27" s="349">
        <v>0</v>
      </c>
      <c r="C27" s="320" t="s">
        <v>11</v>
      </c>
      <c r="D27" s="349">
        <v>1000</v>
      </c>
      <c r="E27" s="338">
        <f>E12</f>
        <v>0.36</v>
      </c>
      <c r="F27" s="304">
        <f t="shared" si="3"/>
        <v>360</v>
      </c>
      <c r="G27" s="20">
        <v>864</v>
      </c>
      <c r="H27" s="47">
        <f>'Muuttuvat kustannukset'!S109</f>
        <v>451.04425</v>
      </c>
      <c r="I27" s="335">
        <f t="shared" si="4"/>
        <v>772.9557500000001</v>
      </c>
      <c r="J27" s="321">
        <f t="shared" si="5"/>
        <v>0</v>
      </c>
    </row>
    <row r="28" spans="1:10" ht="15.75">
      <c r="A28" s="319" t="s">
        <v>165</v>
      </c>
      <c r="B28" s="349"/>
      <c r="C28" s="320" t="s">
        <v>11</v>
      </c>
      <c r="D28" s="349">
        <v>1700</v>
      </c>
      <c r="E28" s="338">
        <f>E27</f>
        <v>0.36</v>
      </c>
      <c r="F28" s="20">
        <f>E28*D28</f>
        <v>612</v>
      </c>
      <c r="G28" s="20">
        <v>864</v>
      </c>
      <c r="H28" s="47">
        <f>'Muuttuvat kustannukset'!S237</f>
        <v>447.45674999999994</v>
      </c>
      <c r="I28" s="335">
        <f t="shared" si="4"/>
        <v>1028.5432500000002</v>
      </c>
      <c r="J28" s="321">
        <f t="shared" si="5"/>
        <v>0</v>
      </c>
    </row>
    <row r="29" spans="1:10" ht="15.75">
      <c r="A29" s="247" t="s">
        <v>149</v>
      </c>
      <c r="B29" s="349">
        <v>10</v>
      </c>
      <c r="C29" s="320" t="s">
        <v>11</v>
      </c>
      <c r="D29" s="349">
        <v>2500</v>
      </c>
      <c r="E29" s="338">
        <f>E14</f>
        <v>0.16</v>
      </c>
      <c r="F29" s="20">
        <f t="shared" si="3"/>
        <v>400</v>
      </c>
      <c r="G29" s="20">
        <v>864</v>
      </c>
      <c r="H29" s="47">
        <f>'Muuttuvat kustannukset'!S154</f>
        <v>292.82675</v>
      </c>
      <c r="I29" s="335">
        <f t="shared" si="4"/>
        <v>971.17325</v>
      </c>
      <c r="J29" s="321">
        <f t="shared" si="5"/>
        <v>9711.7325</v>
      </c>
    </row>
    <row r="30" spans="1:10" ht="15.75">
      <c r="A30" s="243" t="s">
        <v>19</v>
      </c>
      <c r="B30" s="349"/>
      <c r="C30" s="320" t="s">
        <v>11</v>
      </c>
      <c r="D30" s="349">
        <v>2500</v>
      </c>
      <c r="E30" s="338">
        <v>0.135</v>
      </c>
      <c r="F30" s="20">
        <f>E30*D30</f>
        <v>337.5</v>
      </c>
      <c r="G30" s="20">
        <v>864</v>
      </c>
      <c r="H30" s="47">
        <f>'Muuttuvat kustannukset'!S124</f>
        <v>363.55174999999997</v>
      </c>
      <c r="I30" s="335">
        <f t="shared" si="4"/>
        <v>837.94825</v>
      </c>
      <c r="J30" s="321">
        <f t="shared" si="5"/>
        <v>0</v>
      </c>
    </row>
    <row r="31" spans="1:10" s="28" customFormat="1" ht="15.75">
      <c r="A31" s="319" t="s">
        <v>20</v>
      </c>
      <c r="B31" s="349">
        <v>20</v>
      </c>
      <c r="C31" s="320" t="s">
        <v>11</v>
      </c>
      <c r="D31" s="349">
        <v>0</v>
      </c>
      <c r="E31" s="338"/>
      <c r="F31" s="304">
        <f t="shared" si="3"/>
        <v>0</v>
      </c>
      <c r="G31" s="20">
        <v>664</v>
      </c>
      <c r="H31" s="47">
        <f>'Muuttuvat kustannukset'!S207</f>
        <v>91.66000000000001</v>
      </c>
      <c r="I31" s="335">
        <f t="shared" si="4"/>
        <v>572.34</v>
      </c>
      <c r="J31" s="321">
        <f t="shared" si="5"/>
        <v>11446.800000000001</v>
      </c>
    </row>
    <row r="32" spans="1:10" ht="15.75">
      <c r="A32" s="243" t="s">
        <v>162</v>
      </c>
      <c r="B32" s="349"/>
      <c r="C32" s="320" t="s">
        <v>11</v>
      </c>
      <c r="D32" s="349">
        <v>12000</v>
      </c>
      <c r="E32" s="338">
        <v>0.041</v>
      </c>
      <c r="F32" s="20">
        <f t="shared" si="3"/>
        <v>492</v>
      </c>
      <c r="G32" s="20">
        <v>664</v>
      </c>
      <c r="H32" s="47">
        <f>'Muuttuvat kustannukset'!S197</f>
        <v>229.7231</v>
      </c>
      <c r="I32" s="335">
        <f t="shared" si="4"/>
        <v>926.2769000000001</v>
      </c>
      <c r="J32" s="321">
        <f t="shared" si="5"/>
        <v>0</v>
      </c>
    </row>
    <row r="33" spans="1:10" ht="16.5" thickBot="1">
      <c r="A33" s="322" t="s">
        <v>156</v>
      </c>
      <c r="B33" s="350">
        <v>0</v>
      </c>
      <c r="C33" s="325"/>
      <c r="D33" s="350"/>
      <c r="E33" s="347"/>
      <c r="F33" s="324">
        <f t="shared" si="3"/>
        <v>0</v>
      </c>
      <c r="G33" s="325">
        <v>718</v>
      </c>
      <c r="H33" s="351">
        <f>'Muuttuvat kustannukset'!S207</f>
        <v>91.66000000000001</v>
      </c>
      <c r="I33" s="336">
        <f t="shared" si="4"/>
        <v>626.34</v>
      </c>
      <c r="J33" s="326">
        <f t="shared" si="5"/>
        <v>0</v>
      </c>
    </row>
    <row r="34" spans="1:10" ht="15.75">
      <c r="A34" s="327"/>
      <c r="B34" s="328">
        <f>SUM(B24:B33)</f>
        <v>50</v>
      </c>
      <c r="C34" s="327"/>
      <c r="D34" s="327"/>
      <c r="E34" s="327"/>
      <c r="F34" s="327"/>
      <c r="G34" s="328"/>
      <c r="H34" s="329" t="s">
        <v>22</v>
      </c>
      <c r="I34" s="330"/>
      <c r="J34" s="331">
        <f>SUM(J24:J33)</f>
        <v>35430.425625</v>
      </c>
    </row>
    <row r="35" spans="1:10" ht="15.75">
      <c r="A35" s="327"/>
      <c r="B35" s="327"/>
      <c r="C35" s="327"/>
      <c r="D35" s="327"/>
      <c r="E35" s="327"/>
      <c r="F35" s="327"/>
      <c r="G35" s="328"/>
      <c r="H35" s="332" t="s">
        <v>84</v>
      </c>
      <c r="I35" s="24"/>
      <c r="J35" s="331">
        <v>208</v>
      </c>
    </row>
    <row r="36" spans="1:10" ht="16.5" thickBot="1">
      <c r="A36" s="327"/>
      <c r="B36" s="327"/>
      <c r="C36" s="327"/>
      <c r="D36" s="327"/>
      <c r="E36" s="327"/>
      <c r="F36" s="327"/>
      <c r="G36" s="328"/>
      <c r="H36" s="333" t="s">
        <v>23</v>
      </c>
      <c r="I36" s="334"/>
      <c r="J36" s="511">
        <f>J34-J35</f>
        <v>35222.425625</v>
      </c>
    </row>
    <row r="37" spans="7:10" ht="15.75">
      <c r="G37" s="7"/>
      <c r="H37" s="7"/>
      <c r="I37" s="15"/>
      <c r="J37" s="74"/>
    </row>
    <row r="38" spans="1:10" ht="20.25">
      <c r="A38" s="215"/>
      <c r="B38" s="317" t="s">
        <v>25</v>
      </c>
      <c r="C38" s="215"/>
      <c r="D38" s="215"/>
      <c r="E38" s="215"/>
      <c r="F38" s="215"/>
      <c r="G38" s="7"/>
      <c r="H38" s="7"/>
      <c r="I38" s="15"/>
      <c r="J38" s="74"/>
    </row>
    <row r="39" spans="1:10" ht="16.5" thickBot="1">
      <c r="A39" s="14"/>
      <c r="B39" s="8"/>
      <c r="C39" s="8"/>
      <c r="D39" s="9"/>
      <c r="F39" s="11" t="s">
        <v>1</v>
      </c>
      <c r="G39" s="12" t="s">
        <v>2</v>
      </c>
      <c r="H39" s="12" t="s">
        <v>3</v>
      </c>
      <c r="I39" s="12" t="s">
        <v>4</v>
      </c>
      <c r="J39" s="75"/>
    </row>
    <row r="40" spans="1:10" ht="16.5" thickBot="1">
      <c r="A40" s="19" t="s">
        <v>5</v>
      </c>
      <c r="B40" s="513" t="s">
        <v>6</v>
      </c>
      <c r="C40" s="514"/>
      <c r="D40" s="514" t="s">
        <v>7</v>
      </c>
      <c r="E40" s="514" t="s">
        <v>8</v>
      </c>
      <c r="F40" s="515" t="s">
        <v>9</v>
      </c>
      <c r="G40" s="515" t="s">
        <v>9</v>
      </c>
      <c r="H40" s="515" t="s">
        <v>9</v>
      </c>
      <c r="I40" s="516" t="s">
        <v>9</v>
      </c>
      <c r="J40" s="517"/>
    </row>
    <row r="41" spans="1:10" ht="15.75">
      <c r="A41" s="318" t="s">
        <v>12</v>
      </c>
      <c r="B41" s="348">
        <v>15</v>
      </c>
      <c r="C41" s="506" t="s">
        <v>11</v>
      </c>
      <c r="D41" s="348">
        <v>2000</v>
      </c>
      <c r="E41" s="346">
        <f>E24</f>
        <v>0.125</v>
      </c>
      <c r="F41" s="17">
        <f aca="true" t="shared" si="6" ref="F41:F50">E41*D41</f>
        <v>250</v>
      </c>
      <c r="G41" s="17">
        <v>664</v>
      </c>
      <c r="H41" s="46">
        <f>'Muuttuvat kustannukset'!U60</f>
        <v>217.90800000000002</v>
      </c>
      <c r="I41" s="337">
        <f aca="true" t="shared" si="7" ref="I41:I50">F41+G41-H41</f>
        <v>696.092</v>
      </c>
      <c r="J41" s="18">
        <f aca="true" t="shared" si="8" ref="J41:J50">B41*I41</f>
        <v>10441.38</v>
      </c>
    </row>
    <row r="42" spans="1:10" ht="15.75">
      <c r="A42" s="319" t="s">
        <v>163</v>
      </c>
      <c r="B42" s="349">
        <v>5</v>
      </c>
      <c r="C42" s="320" t="s">
        <v>11</v>
      </c>
      <c r="D42" s="349">
        <v>2000</v>
      </c>
      <c r="E42" s="338">
        <f>E25</f>
        <v>0.17</v>
      </c>
      <c r="F42" s="20">
        <f t="shared" si="6"/>
        <v>340</v>
      </c>
      <c r="G42" s="20">
        <v>702</v>
      </c>
      <c r="H42" s="47">
        <f>'Muuttuvat kustannukset'!U77</f>
        <v>275.897375</v>
      </c>
      <c r="I42" s="335">
        <f t="shared" si="7"/>
        <v>766.102625</v>
      </c>
      <c r="J42" s="344">
        <f t="shared" si="8"/>
        <v>3830.513125</v>
      </c>
    </row>
    <row r="43" spans="1:10" ht="15.75">
      <c r="A43" s="319" t="s">
        <v>15</v>
      </c>
      <c r="B43" s="349"/>
      <c r="C43" s="320" t="s">
        <v>11</v>
      </c>
      <c r="D43" s="349">
        <v>2500</v>
      </c>
      <c r="E43" s="338">
        <f>E26</f>
        <v>0.2</v>
      </c>
      <c r="F43" s="20">
        <f t="shared" si="6"/>
        <v>500</v>
      </c>
      <c r="G43" s="20">
        <v>814</v>
      </c>
      <c r="H43" s="47">
        <f>'Muuttuvat kustannukset'!U94</f>
        <v>383.555625</v>
      </c>
      <c r="I43" s="335">
        <f t="shared" si="7"/>
        <v>930.444375</v>
      </c>
      <c r="J43" s="344">
        <f t="shared" si="8"/>
        <v>0</v>
      </c>
    </row>
    <row r="44" spans="1:10" ht="15.75">
      <c r="A44" s="319" t="s">
        <v>17</v>
      </c>
      <c r="B44" s="349">
        <v>0</v>
      </c>
      <c r="C44" s="320" t="s">
        <v>11</v>
      </c>
      <c r="D44" s="349">
        <v>1000</v>
      </c>
      <c r="E44" s="338">
        <f>E27+0.02</f>
        <v>0.38</v>
      </c>
      <c r="F44" s="20">
        <f t="shared" si="6"/>
        <v>380</v>
      </c>
      <c r="G44" s="20">
        <v>864</v>
      </c>
      <c r="H44" s="47">
        <f>'Muuttuvat kustannukset'!U109</f>
        <v>451.04425</v>
      </c>
      <c r="I44" s="335">
        <f t="shared" si="7"/>
        <v>792.9557500000001</v>
      </c>
      <c r="J44" s="344">
        <f t="shared" si="8"/>
        <v>0</v>
      </c>
    </row>
    <row r="45" spans="1:10" ht="15.75">
      <c r="A45" s="319" t="s">
        <v>165</v>
      </c>
      <c r="B45" s="349"/>
      <c r="C45" s="320" t="s">
        <v>11</v>
      </c>
      <c r="D45" s="349">
        <v>1700</v>
      </c>
      <c r="E45" s="338">
        <f>E44</f>
        <v>0.38</v>
      </c>
      <c r="F45" s="20">
        <f t="shared" si="6"/>
        <v>646</v>
      </c>
      <c r="G45" s="20">
        <v>864</v>
      </c>
      <c r="H45" s="47">
        <f>'Muuttuvat kustannukset'!U237</f>
        <v>447.45674999999994</v>
      </c>
      <c r="I45" s="335">
        <f t="shared" si="7"/>
        <v>1062.5432500000002</v>
      </c>
      <c r="J45" s="344">
        <f t="shared" si="8"/>
        <v>0</v>
      </c>
    </row>
    <row r="46" spans="1:10" ht="15.75">
      <c r="A46" s="247" t="s">
        <v>149</v>
      </c>
      <c r="B46" s="349">
        <v>10</v>
      </c>
      <c r="C46" s="320" t="s">
        <v>11</v>
      </c>
      <c r="D46" s="349">
        <v>2500</v>
      </c>
      <c r="E46" s="338">
        <f>E29</f>
        <v>0.16</v>
      </c>
      <c r="F46" s="20">
        <f t="shared" si="6"/>
        <v>400</v>
      </c>
      <c r="G46" s="20">
        <v>864</v>
      </c>
      <c r="H46" s="47">
        <f>'Muuttuvat kustannukset'!U154</f>
        <v>276.93924999999996</v>
      </c>
      <c r="I46" s="335">
        <f t="shared" si="7"/>
        <v>987.0607500000001</v>
      </c>
      <c r="J46" s="344">
        <f t="shared" si="8"/>
        <v>9870.607500000002</v>
      </c>
    </row>
    <row r="47" spans="1:10" ht="15.75">
      <c r="A47" s="243" t="s">
        <v>19</v>
      </c>
      <c r="B47" s="349"/>
      <c r="C47" s="320" t="s">
        <v>11</v>
      </c>
      <c r="D47" s="349">
        <v>2500</v>
      </c>
      <c r="E47" s="338">
        <f>E68-0.03</f>
        <v>0.33999999999999997</v>
      </c>
      <c r="F47" s="20">
        <f t="shared" si="6"/>
        <v>849.9999999999999</v>
      </c>
      <c r="G47" s="20">
        <v>864</v>
      </c>
      <c r="H47" s="47">
        <f>'Muuttuvat kustannukset'!U124</f>
        <v>363.55174999999997</v>
      </c>
      <c r="I47" s="335">
        <f t="shared" si="7"/>
        <v>1350.44825</v>
      </c>
      <c r="J47" s="344">
        <f t="shared" si="8"/>
        <v>0</v>
      </c>
    </row>
    <row r="48" spans="1:10" ht="15.75">
      <c r="A48" s="319" t="s">
        <v>20</v>
      </c>
      <c r="B48" s="349">
        <v>15</v>
      </c>
      <c r="C48" s="320" t="s">
        <v>11</v>
      </c>
      <c r="D48" s="349">
        <v>0</v>
      </c>
      <c r="E48" s="338"/>
      <c r="F48" s="304">
        <f t="shared" si="6"/>
        <v>0</v>
      </c>
      <c r="G48" s="20">
        <v>664</v>
      </c>
      <c r="H48" s="47">
        <f>'Muuttuvat kustannukset'!U207</f>
        <v>91.66000000000001</v>
      </c>
      <c r="I48" s="335">
        <f t="shared" si="7"/>
        <v>572.34</v>
      </c>
      <c r="J48" s="344">
        <f t="shared" si="8"/>
        <v>8585.1</v>
      </c>
    </row>
    <row r="49" spans="1:10" ht="15.75">
      <c r="A49" s="243" t="s">
        <v>162</v>
      </c>
      <c r="B49" s="349"/>
      <c r="C49" s="320" t="s">
        <v>11</v>
      </c>
      <c r="D49" s="349">
        <v>12000</v>
      </c>
      <c r="E49" s="338">
        <v>0.041</v>
      </c>
      <c r="F49" s="20">
        <f t="shared" si="6"/>
        <v>492</v>
      </c>
      <c r="G49" s="20">
        <v>664</v>
      </c>
      <c r="H49" s="47">
        <f>'Muuttuvat kustannukset'!U197</f>
        <v>229.7231</v>
      </c>
      <c r="I49" s="335">
        <f t="shared" si="7"/>
        <v>926.2769000000001</v>
      </c>
      <c r="J49" s="321">
        <f t="shared" si="8"/>
        <v>0</v>
      </c>
    </row>
    <row r="50" spans="1:10" ht="16.5" thickBot="1">
      <c r="A50" s="322" t="s">
        <v>156</v>
      </c>
      <c r="B50" s="350">
        <v>5</v>
      </c>
      <c r="C50" s="325"/>
      <c r="D50" s="350"/>
      <c r="E50" s="347"/>
      <c r="F50" s="324">
        <f t="shared" si="6"/>
        <v>0</v>
      </c>
      <c r="G50" s="325">
        <v>718</v>
      </c>
      <c r="H50" s="351">
        <f>'Muuttuvat kustannukset'!U207</f>
        <v>91.66000000000001</v>
      </c>
      <c r="I50" s="336">
        <f t="shared" si="7"/>
        <v>626.34</v>
      </c>
      <c r="J50" s="326">
        <f t="shared" si="8"/>
        <v>3131.7000000000003</v>
      </c>
    </row>
    <row r="51" spans="1:10" ht="15.75">
      <c r="A51" s="327"/>
      <c r="B51" s="328">
        <f>SUM(B41:B50)</f>
        <v>50</v>
      </c>
      <c r="C51" s="327"/>
      <c r="D51" s="327"/>
      <c r="E51" s="327"/>
      <c r="F51" s="327"/>
      <c r="G51" s="328"/>
      <c r="H51" s="329" t="s">
        <v>22</v>
      </c>
      <c r="I51" s="330"/>
      <c r="J51" s="331">
        <f>SUM(J41:J50)</f>
        <v>35859.300624999996</v>
      </c>
    </row>
    <row r="52" spans="1:10" ht="15.75">
      <c r="A52" s="327"/>
      <c r="B52" s="327"/>
      <c r="C52" s="327"/>
      <c r="D52" s="327"/>
      <c r="E52" s="327"/>
      <c r="F52" s="327"/>
      <c r="G52" s="328"/>
      <c r="H52" s="332" t="s">
        <v>83</v>
      </c>
      <c r="I52" s="24"/>
      <c r="J52" s="331">
        <v>100</v>
      </c>
    </row>
    <row r="53" spans="1:10" ht="16.5" thickBot="1">
      <c r="A53" s="69"/>
      <c r="B53" s="69"/>
      <c r="C53" s="69"/>
      <c r="D53" s="345"/>
      <c r="E53" s="69"/>
      <c r="F53" s="69"/>
      <c r="G53" s="71"/>
      <c r="H53" s="333" t="s">
        <v>23</v>
      </c>
      <c r="I53" s="334"/>
      <c r="J53" s="511">
        <f>J51-J52</f>
        <v>35759.300624999996</v>
      </c>
    </row>
    <row r="54" spans="1:10" ht="15.75">
      <c r="A54" s="27"/>
      <c r="G54" s="7"/>
      <c r="H54" s="7"/>
      <c r="I54" s="7"/>
      <c r="J54" s="74"/>
    </row>
    <row r="58" spans="2:5" ht="20.25">
      <c r="B58" s="510" t="s">
        <v>37</v>
      </c>
      <c r="C58" s="215"/>
      <c r="D58" s="215"/>
      <c r="E58" s="215"/>
    </row>
    <row r="59" spans="7:10" ht="15.75">
      <c r="G59" s="7"/>
      <c r="H59" s="7"/>
      <c r="I59" s="7"/>
      <c r="J59" s="74"/>
    </row>
    <row r="60" spans="1:10" ht="16.5" thickBot="1">
      <c r="A60" s="14"/>
      <c r="B60" s="8"/>
      <c r="C60" s="8"/>
      <c r="D60" s="9"/>
      <c r="F60" s="11" t="s">
        <v>1</v>
      </c>
      <c r="G60" s="12" t="s">
        <v>2</v>
      </c>
      <c r="H60" s="12" t="s">
        <v>3</v>
      </c>
      <c r="I60" s="12" t="s">
        <v>4</v>
      </c>
      <c r="J60" s="75"/>
    </row>
    <row r="61" spans="1:10" ht="16.5" thickBot="1">
      <c r="A61" s="19" t="s">
        <v>5</v>
      </c>
      <c r="B61" s="513" t="s">
        <v>6</v>
      </c>
      <c r="C61" s="520"/>
      <c r="D61" s="514" t="s">
        <v>7</v>
      </c>
      <c r="E61" s="514" t="s">
        <v>8</v>
      </c>
      <c r="F61" s="515" t="s">
        <v>9</v>
      </c>
      <c r="G61" s="515" t="s">
        <v>9</v>
      </c>
      <c r="H61" s="515" t="s">
        <v>9</v>
      </c>
      <c r="I61" s="515" t="s">
        <v>9</v>
      </c>
      <c r="J61" s="517"/>
    </row>
    <row r="62" spans="1:10" ht="15.75">
      <c r="A62" s="318" t="s">
        <v>12</v>
      </c>
      <c r="B62" s="348">
        <v>5</v>
      </c>
      <c r="C62" s="342" t="s">
        <v>11</v>
      </c>
      <c r="D62" s="348">
        <v>3000</v>
      </c>
      <c r="E62" s="359">
        <v>0.235</v>
      </c>
      <c r="F62" s="17">
        <f aca="true" t="shared" si="9" ref="F62:F71">E62*D62</f>
        <v>705</v>
      </c>
      <c r="G62" s="17">
        <v>664</v>
      </c>
      <c r="H62" s="46">
        <f>'Muuttuvat kustannukset'!Q60</f>
        <v>380.37050000000005</v>
      </c>
      <c r="I62" s="337">
        <f aca="true" t="shared" si="10" ref="I62:I71">F62+G62-H62</f>
        <v>988.6295</v>
      </c>
      <c r="J62" s="82">
        <f aca="true" t="shared" si="11" ref="J62:J71">B62*I62</f>
        <v>4943.1475</v>
      </c>
    </row>
    <row r="63" spans="1:10" ht="15.75">
      <c r="A63" s="319" t="s">
        <v>14</v>
      </c>
      <c r="B63" s="349">
        <v>10</v>
      </c>
      <c r="C63" s="343" t="s">
        <v>11</v>
      </c>
      <c r="D63" s="349">
        <v>2500</v>
      </c>
      <c r="E63" s="357">
        <v>0.34</v>
      </c>
      <c r="F63" s="20">
        <f t="shared" si="9"/>
        <v>850.0000000000001</v>
      </c>
      <c r="G63" s="20">
        <v>702</v>
      </c>
      <c r="H63" s="47">
        <f>'Muuttuvat kustannukset'!Q77</f>
        <v>417.552375</v>
      </c>
      <c r="I63" s="335">
        <f t="shared" si="10"/>
        <v>1134.447625</v>
      </c>
      <c r="J63" s="321">
        <f t="shared" si="11"/>
        <v>11344.47625</v>
      </c>
    </row>
    <row r="64" spans="1:10" ht="15.75">
      <c r="A64" s="319" t="s">
        <v>15</v>
      </c>
      <c r="B64" s="349">
        <v>5</v>
      </c>
      <c r="C64" s="343" t="s">
        <v>11</v>
      </c>
      <c r="D64" s="349">
        <v>2000</v>
      </c>
      <c r="E64" s="357">
        <v>0.38</v>
      </c>
      <c r="F64" s="304">
        <f t="shared" si="9"/>
        <v>760</v>
      </c>
      <c r="G64" s="20">
        <v>814</v>
      </c>
      <c r="H64" s="47">
        <f>'Muuttuvat kustannukset'!Q94</f>
        <v>358.65562500000004</v>
      </c>
      <c r="I64" s="335">
        <f t="shared" si="10"/>
        <v>1215.344375</v>
      </c>
      <c r="J64" s="321">
        <f t="shared" si="11"/>
        <v>6076.721874999999</v>
      </c>
    </row>
    <row r="65" spans="1:10" ht="15.75">
      <c r="A65" s="319" t="s">
        <v>17</v>
      </c>
      <c r="B65" s="349"/>
      <c r="C65" s="343" t="s">
        <v>11</v>
      </c>
      <c r="D65" s="349">
        <v>1000</v>
      </c>
      <c r="E65" s="357">
        <v>0.6</v>
      </c>
      <c r="F65" s="20">
        <f t="shared" si="9"/>
        <v>600</v>
      </c>
      <c r="G65" s="20">
        <v>864</v>
      </c>
      <c r="H65" s="47">
        <f>'Muuttuvat kustannukset'!Q109</f>
        <v>439.76924999999994</v>
      </c>
      <c r="I65" s="335">
        <f t="shared" si="10"/>
        <v>1024.2307500000002</v>
      </c>
      <c r="J65" s="321">
        <f t="shared" si="11"/>
        <v>0</v>
      </c>
    </row>
    <row r="66" spans="1:10" ht="15.75">
      <c r="A66" s="319" t="s">
        <v>165</v>
      </c>
      <c r="B66" s="349"/>
      <c r="C66" s="320" t="s">
        <v>11</v>
      </c>
      <c r="D66" s="349">
        <v>1700</v>
      </c>
      <c r="E66" s="357">
        <v>0.6</v>
      </c>
      <c r="F66" s="20">
        <f t="shared" si="9"/>
        <v>1020</v>
      </c>
      <c r="G66" s="20">
        <v>864</v>
      </c>
      <c r="H66" s="47">
        <f>'Muuttuvat kustannukset'!Q237</f>
        <v>437.20674999999994</v>
      </c>
      <c r="I66" s="335">
        <f t="shared" si="10"/>
        <v>1446.7932500000002</v>
      </c>
      <c r="J66" s="321">
        <f t="shared" si="11"/>
        <v>0</v>
      </c>
    </row>
    <row r="67" spans="1:10" ht="15.75">
      <c r="A67" s="247" t="s">
        <v>149</v>
      </c>
      <c r="B67" s="349">
        <v>10</v>
      </c>
      <c r="C67" s="343" t="s">
        <v>11</v>
      </c>
      <c r="D67" s="349">
        <v>3000</v>
      </c>
      <c r="E67" s="357">
        <v>0.285</v>
      </c>
      <c r="F67" s="20">
        <f t="shared" si="9"/>
        <v>854.9999999999999</v>
      </c>
      <c r="G67" s="20">
        <v>864</v>
      </c>
      <c r="H67" s="47">
        <f>'Muuttuvat kustannukset'!Q139</f>
        <v>323.57675</v>
      </c>
      <c r="I67" s="335">
        <f t="shared" si="10"/>
        <v>1395.42325</v>
      </c>
      <c r="J67" s="321">
        <f t="shared" si="11"/>
        <v>13954.2325</v>
      </c>
    </row>
    <row r="68" spans="1:10" ht="15.75">
      <c r="A68" s="243" t="s">
        <v>19</v>
      </c>
      <c r="B68" s="349"/>
      <c r="C68" s="320" t="s">
        <v>11</v>
      </c>
      <c r="D68" s="349">
        <v>2500</v>
      </c>
      <c r="E68" s="357">
        <v>0.37</v>
      </c>
      <c r="F68" s="20">
        <f t="shared" si="9"/>
        <v>925</v>
      </c>
      <c r="G68" s="20">
        <v>864</v>
      </c>
      <c r="H68" s="47">
        <f>'Muuttuvat kustannukset'!Q124</f>
        <v>348.38174999999995</v>
      </c>
      <c r="I68" s="335">
        <f t="shared" si="10"/>
        <v>1440.61825</v>
      </c>
      <c r="J68" s="321">
        <f t="shared" si="11"/>
        <v>0</v>
      </c>
    </row>
    <row r="69" spans="1:10" ht="15.75">
      <c r="A69" s="319" t="s">
        <v>20</v>
      </c>
      <c r="B69" s="349">
        <v>15</v>
      </c>
      <c r="C69" s="343" t="s">
        <v>11</v>
      </c>
      <c r="D69" s="349">
        <v>0</v>
      </c>
      <c r="E69" s="357">
        <v>0</v>
      </c>
      <c r="F69" s="304">
        <f t="shared" si="9"/>
        <v>0</v>
      </c>
      <c r="G69" s="20">
        <v>664</v>
      </c>
      <c r="H69" s="47">
        <f>'Muuttuvat kustannukset'!Q207</f>
        <v>91.66000000000001</v>
      </c>
      <c r="I69" s="335">
        <f t="shared" si="10"/>
        <v>572.34</v>
      </c>
      <c r="J69" s="321">
        <f t="shared" si="11"/>
        <v>8585.1</v>
      </c>
    </row>
    <row r="70" spans="1:10" ht="15.75">
      <c r="A70" s="243" t="s">
        <v>150</v>
      </c>
      <c r="B70" s="349"/>
      <c r="C70" s="300" t="s">
        <v>11</v>
      </c>
      <c r="D70" s="349">
        <v>14000</v>
      </c>
      <c r="E70" s="357">
        <v>0.041</v>
      </c>
      <c r="F70" s="20">
        <f t="shared" si="9"/>
        <v>574</v>
      </c>
      <c r="G70" s="20">
        <v>664</v>
      </c>
      <c r="H70" s="47">
        <f>'Muuttuvat kustannukset'!Q197</f>
        <v>227.99195</v>
      </c>
      <c r="I70" s="335">
        <f t="shared" si="10"/>
        <v>1010.00805</v>
      </c>
      <c r="J70" s="321">
        <f t="shared" si="11"/>
        <v>0</v>
      </c>
    </row>
    <row r="71" spans="1:10" ht="16.5" thickBot="1">
      <c r="A71" s="322" t="s">
        <v>156</v>
      </c>
      <c r="B71" s="350">
        <v>5</v>
      </c>
      <c r="C71" s="323"/>
      <c r="D71" s="350"/>
      <c r="E71" s="356"/>
      <c r="F71" s="324">
        <f t="shared" si="9"/>
        <v>0</v>
      </c>
      <c r="G71" s="325">
        <v>718</v>
      </c>
      <c r="H71" s="351">
        <f>'Muuttuvat kustannukset'!Q207</f>
        <v>91.66000000000001</v>
      </c>
      <c r="I71" s="336">
        <f t="shared" si="10"/>
        <v>626.34</v>
      </c>
      <c r="J71" s="358">
        <f t="shared" si="11"/>
        <v>3131.7000000000003</v>
      </c>
    </row>
    <row r="72" spans="1:10" ht="15.75">
      <c r="A72" s="352" t="s">
        <v>21</v>
      </c>
      <c r="B72" s="24">
        <f>SUM(B62:B71)</f>
        <v>50</v>
      </c>
      <c r="C72" s="353" t="s">
        <v>11</v>
      </c>
      <c r="D72" s="67"/>
      <c r="E72" s="67"/>
      <c r="F72" s="330"/>
      <c r="G72" s="330"/>
      <c r="H72" s="329" t="s">
        <v>22</v>
      </c>
      <c r="I72" s="330"/>
      <c r="J72" s="321">
        <f>SUM(J62:J71)</f>
        <v>48035.378124999996</v>
      </c>
    </row>
    <row r="73" spans="1:10" ht="15.75">
      <c r="A73" s="354"/>
      <c r="B73" s="174"/>
      <c r="C73" s="174"/>
      <c r="D73" s="174"/>
      <c r="E73" s="174"/>
      <c r="F73" s="355"/>
      <c r="G73" s="67"/>
      <c r="H73" s="332" t="s">
        <v>83</v>
      </c>
      <c r="I73" s="24"/>
      <c r="J73" s="321">
        <v>100</v>
      </c>
    </row>
    <row r="74" spans="1:10" ht="16.5" thickBot="1">
      <c r="A74" s="25"/>
      <c r="B74" s="25"/>
      <c r="C74" s="25"/>
      <c r="D74" s="25"/>
      <c r="E74" s="25"/>
      <c r="F74" s="25"/>
      <c r="G74" s="33"/>
      <c r="H74" s="333" t="s">
        <v>23</v>
      </c>
      <c r="I74" s="334"/>
      <c r="J74" s="511">
        <f>J72-J73</f>
        <v>47935.378124999996</v>
      </c>
    </row>
    <row r="75" spans="7:10" ht="15.75">
      <c r="G75" s="7"/>
      <c r="H75" s="23"/>
      <c r="I75" s="24"/>
      <c r="J75" s="76"/>
    </row>
    <row r="76" spans="1:9" ht="26.25">
      <c r="A76" s="26" t="s">
        <v>24</v>
      </c>
      <c r="G76" s="7"/>
      <c r="H76" s="7"/>
      <c r="I76" s="7"/>
    </row>
    <row r="77" spans="1:10" ht="16.5" thickBot="1">
      <c r="A77" s="27"/>
      <c r="B77" s="27"/>
      <c r="C77" s="27"/>
      <c r="D77" s="27"/>
      <c r="E77" s="27"/>
      <c r="F77" s="27"/>
      <c r="G77" s="27"/>
      <c r="H77" s="27"/>
      <c r="I77" s="27"/>
      <c r="J77" s="77"/>
    </row>
    <row r="78" spans="1:10" ht="16.5" thickBot="1">
      <c r="A78" s="425" t="s">
        <v>26</v>
      </c>
      <c r="B78" s="426"/>
      <c r="C78" s="427"/>
      <c r="D78" s="428" t="s">
        <v>27</v>
      </c>
      <c r="E78" s="429" t="s">
        <v>28</v>
      </c>
      <c r="F78" s="429" t="s">
        <v>29</v>
      </c>
      <c r="G78" s="429" t="s">
        <v>30</v>
      </c>
      <c r="H78" s="430" t="s">
        <v>31</v>
      </c>
      <c r="I78" s="507"/>
      <c r="J78" s="431" t="s">
        <v>32</v>
      </c>
    </row>
    <row r="79" spans="1:10" ht="15.75">
      <c r="A79" s="318" t="s">
        <v>0</v>
      </c>
      <c r="B79" s="411"/>
      <c r="C79" s="411"/>
      <c r="D79" s="412">
        <f>J18</f>
        <v>31737.39275</v>
      </c>
      <c r="E79" s="413">
        <f>J18</f>
        <v>31737.39275</v>
      </c>
      <c r="F79" s="413">
        <f>J18</f>
        <v>31737.39275</v>
      </c>
      <c r="G79" s="413">
        <f>J18</f>
        <v>31737.39275</v>
      </c>
      <c r="H79" s="414">
        <f>J18</f>
        <v>31737.39275</v>
      </c>
      <c r="I79" s="508" t="s">
        <v>22</v>
      </c>
      <c r="J79" s="415">
        <f>SUM(D79:H79)</f>
        <v>158686.96375</v>
      </c>
    </row>
    <row r="80" spans="1:10" ht="16.5" thickBot="1">
      <c r="A80" s="319" t="s">
        <v>38</v>
      </c>
      <c r="B80" s="416"/>
      <c r="C80" s="416"/>
      <c r="D80" s="417">
        <f>J36</f>
        <v>35222.425625</v>
      </c>
      <c r="E80" s="418">
        <f>J53</f>
        <v>35759.300624999996</v>
      </c>
      <c r="F80" s="418">
        <f>J74</f>
        <v>47935.378124999996</v>
      </c>
      <c r="G80" s="418">
        <f>J74</f>
        <v>47935.378124999996</v>
      </c>
      <c r="H80" s="419">
        <f>J74</f>
        <v>47935.378124999996</v>
      </c>
      <c r="I80" s="508" t="s">
        <v>22</v>
      </c>
      <c r="J80" s="420">
        <f>SUM(D80:H80)</f>
        <v>214787.86062499997</v>
      </c>
    </row>
    <row r="81" spans="1:10" ht="16.5" thickBot="1">
      <c r="A81" s="432" t="s">
        <v>34</v>
      </c>
      <c r="B81" s="433"/>
      <c r="C81" s="433"/>
      <c r="D81" s="434">
        <f>D80-D79</f>
        <v>3485.0328750000044</v>
      </c>
      <c r="E81" s="434">
        <f>E80-E79</f>
        <v>4021.907874999997</v>
      </c>
      <c r="F81" s="434">
        <f>F80-F79</f>
        <v>16197.985374999997</v>
      </c>
      <c r="G81" s="434">
        <f>G80-G79</f>
        <v>16197.985374999997</v>
      </c>
      <c r="H81" s="435">
        <f>H80-H79</f>
        <v>16197.985374999997</v>
      </c>
      <c r="I81" s="508" t="s">
        <v>22</v>
      </c>
      <c r="J81" s="436">
        <f>J80-J79</f>
        <v>56100.89687499998</v>
      </c>
    </row>
    <row r="82" spans="1:10" ht="16.5" thickBot="1">
      <c r="A82" s="421" t="s">
        <v>35</v>
      </c>
      <c r="B82" s="422"/>
      <c r="C82" s="422"/>
      <c r="D82" s="423">
        <f>D81/B18</f>
        <v>69.70065750000009</v>
      </c>
      <c r="E82" s="423">
        <f>E81/B51</f>
        <v>80.43815749999995</v>
      </c>
      <c r="F82" s="423">
        <f>F81/B72</f>
        <v>323.9597074999999</v>
      </c>
      <c r="G82" s="423">
        <f>G81/B72</f>
        <v>323.9597074999999</v>
      </c>
      <c r="H82" s="424">
        <f>H81/B72</f>
        <v>323.9597074999999</v>
      </c>
      <c r="I82" s="422"/>
      <c r="J82" s="420">
        <f>J81/B72</f>
        <v>1122.0179374999996</v>
      </c>
    </row>
    <row r="83" spans="1:10" ht="15.75">
      <c r="A83" s="25"/>
      <c r="B83" s="25"/>
      <c r="C83" s="25"/>
      <c r="D83" s="25"/>
      <c r="E83" s="25"/>
      <c r="F83" s="25"/>
      <c r="G83" s="33"/>
      <c r="H83" s="33"/>
      <c r="I83" s="33"/>
      <c r="J83" s="33"/>
    </row>
    <row r="84" spans="7:9" ht="15.75">
      <c r="G84" s="7"/>
      <c r="H84" s="7"/>
      <c r="I84" s="7"/>
    </row>
    <row r="85" spans="7:9" ht="15.75">
      <c r="G85" s="7"/>
      <c r="H85" s="7"/>
      <c r="I85" s="7"/>
    </row>
    <row r="86" spans="7:9" ht="15.75">
      <c r="G86" s="7"/>
      <c r="H86" s="7"/>
      <c r="I86" s="7"/>
    </row>
    <row r="87" spans="7:9" ht="15.75">
      <c r="G87" s="7"/>
      <c r="H87" s="7"/>
      <c r="I87" s="7"/>
    </row>
    <row r="88" spans="7:9" ht="15.75">
      <c r="G88" s="7"/>
      <c r="H88" s="7"/>
      <c r="I88" s="7"/>
    </row>
    <row r="89" spans="7:9" ht="15.75">
      <c r="G89" s="7"/>
      <c r="H89" s="7"/>
      <c r="I89" s="7"/>
    </row>
    <row r="90" spans="7:9" ht="15.75">
      <c r="G90" s="7"/>
      <c r="H90" s="7"/>
      <c r="I90" s="7"/>
    </row>
    <row r="91" spans="7:9" ht="15.75">
      <c r="G91" s="7"/>
      <c r="H91" s="7"/>
      <c r="I91" s="7"/>
    </row>
    <row r="92" spans="7:9" ht="15.75">
      <c r="G92" s="7"/>
      <c r="H92" s="7"/>
      <c r="I92" s="7"/>
    </row>
    <row r="93" spans="7:9" ht="15.75">
      <c r="G93" s="7"/>
      <c r="H93" s="7"/>
      <c r="I93" s="7"/>
    </row>
    <row r="94" spans="7:9" ht="15.75">
      <c r="G94" s="7"/>
      <c r="H94" s="7"/>
      <c r="I94" s="7"/>
    </row>
    <row r="95" spans="7:9" ht="15.75">
      <c r="G95" s="7"/>
      <c r="H95" s="7"/>
      <c r="I95" s="7"/>
    </row>
    <row r="96" spans="7:9" ht="15.75">
      <c r="G96" s="7"/>
      <c r="H96" s="7"/>
      <c r="I96" s="7"/>
    </row>
    <row r="97" spans="7:9" ht="15.75">
      <c r="G97" s="7"/>
      <c r="H97" s="7"/>
      <c r="I97" s="7"/>
    </row>
    <row r="98" spans="7:9" ht="15.75">
      <c r="G98" s="7"/>
      <c r="H98" s="7"/>
      <c r="I98" s="7"/>
    </row>
    <row r="99" spans="7:9" ht="15.75">
      <c r="G99" s="7"/>
      <c r="H99" s="7"/>
      <c r="I99" s="7"/>
    </row>
    <row r="100" spans="7:9" ht="15.75">
      <c r="G100" s="7"/>
      <c r="H100" s="7"/>
      <c r="I100" s="7"/>
    </row>
    <row r="101" spans="7:9" ht="15.75">
      <c r="G101" s="7"/>
      <c r="H101" s="7"/>
      <c r="I101" s="7"/>
    </row>
    <row r="102" spans="7:9" ht="15.75">
      <c r="G102" s="7"/>
      <c r="H102" s="7"/>
      <c r="I102" s="7"/>
    </row>
    <row r="123" spans="5:10" ht="15.75">
      <c r="E123" s="28"/>
      <c r="F123" s="28"/>
      <c r="G123" s="28"/>
      <c r="H123" s="28"/>
      <c r="I123" s="28"/>
      <c r="J123" s="54"/>
    </row>
    <row r="140" spans="5:10" ht="15.75">
      <c r="E140" s="28"/>
      <c r="F140" s="28"/>
      <c r="G140" s="28"/>
      <c r="H140" s="28"/>
      <c r="I140" s="28"/>
      <c r="J140" s="54"/>
    </row>
    <row r="142" spans="5:10" ht="18.75">
      <c r="E142" s="31"/>
      <c r="F142" s="31"/>
      <c r="G142" s="31"/>
      <c r="H142" s="31"/>
      <c r="I142" s="31"/>
      <c r="J142" s="59"/>
    </row>
    <row r="156" spans="5:10" ht="15.75">
      <c r="E156" s="28"/>
      <c r="F156" s="28"/>
      <c r="G156" s="28"/>
      <c r="H156" s="28"/>
      <c r="I156" s="28"/>
      <c r="J156" s="54"/>
    </row>
    <row r="174" spans="5:10" ht="15.75">
      <c r="E174" s="28"/>
      <c r="F174" s="28"/>
      <c r="G174" s="28"/>
      <c r="H174" s="28"/>
      <c r="I174" s="28"/>
      <c r="J174" s="54"/>
    </row>
    <row r="176" spans="5:10" ht="18.75">
      <c r="E176" s="31"/>
      <c r="F176" s="31"/>
      <c r="G176" s="31"/>
      <c r="H176" s="31"/>
      <c r="I176" s="31"/>
      <c r="J176" s="59"/>
    </row>
    <row r="192" spans="5:10" ht="15.75">
      <c r="E192" s="28"/>
      <c r="F192" s="28"/>
      <c r="G192" s="28"/>
      <c r="H192" s="28"/>
      <c r="I192" s="28"/>
      <c r="J192" s="54"/>
    </row>
    <row r="194" spans="5:10" ht="18.75">
      <c r="E194" s="31"/>
      <c r="F194" s="31"/>
      <c r="G194" s="31"/>
      <c r="H194" s="31"/>
      <c r="I194" s="31"/>
      <c r="J194" s="59"/>
    </row>
    <row r="208" spans="5:10" ht="15.75">
      <c r="E208" s="28"/>
      <c r="F208" s="28"/>
      <c r="G208" s="28"/>
      <c r="H208" s="28"/>
      <c r="I208" s="28"/>
      <c r="J208" s="54"/>
    </row>
    <row r="210" spans="5:10" ht="18.75">
      <c r="E210" s="31"/>
      <c r="F210" s="31"/>
      <c r="G210" s="31"/>
      <c r="H210" s="31"/>
      <c r="I210" s="31"/>
      <c r="J210" s="59"/>
    </row>
    <row r="223" spans="5:10" ht="15.75">
      <c r="E223" s="28"/>
      <c r="F223" s="28"/>
      <c r="G223" s="28"/>
      <c r="H223" s="28"/>
      <c r="I223" s="28"/>
      <c r="J223" s="54"/>
    </row>
    <row r="226" spans="5:10" ht="18.75">
      <c r="E226" s="31"/>
      <c r="F226" s="31"/>
      <c r="G226" s="31"/>
      <c r="H226" s="31"/>
      <c r="I226" s="31"/>
      <c r="J226" s="59"/>
    </row>
    <row r="239" spans="5:10" ht="15.75">
      <c r="E239" s="28"/>
      <c r="F239" s="28"/>
      <c r="G239" s="28"/>
      <c r="H239" s="28"/>
      <c r="I239" s="28"/>
      <c r="J239" s="54"/>
    </row>
    <row r="240" spans="5:10" ht="15.75">
      <c r="E240" s="34"/>
      <c r="F240" s="34"/>
      <c r="G240" s="34"/>
      <c r="H240" s="34"/>
      <c r="I240" s="34"/>
      <c r="J240" s="78"/>
    </row>
  </sheetData>
  <sheetProtection password="9C73" sheet="1" selectLockedCells="1"/>
  <printOptions/>
  <pageMargins left="0.7" right="0.7" top="0.75" bottom="0.75" header="0.3" footer="0.3"/>
  <pageSetup horizontalDpi="600" verticalDpi="600" orientation="portrait" paperSize="9" scale="72" r:id="rId2"/>
  <headerFooter>
    <oddFooter>&amp;C&amp;8Reijo Käki 2008
ProAgria Kymenlaakso</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Pekka Terhemaa</cp:lastModifiedBy>
  <cp:lastPrinted>2014-02-14T06:32:40Z</cp:lastPrinted>
  <dcterms:created xsi:type="dcterms:W3CDTF">2008-11-30T11:59:48Z</dcterms:created>
  <dcterms:modified xsi:type="dcterms:W3CDTF">2014-02-21T10:57:03Z</dcterms:modified>
  <cp:category/>
  <cp:version/>
  <cp:contentType/>
  <cp:contentStatus/>
</cp:coreProperties>
</file>